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680" tabRatio="763" activeTab="5"/>
  </bookViews>
  <sheets>
    <sheet name="JST - spółka komunalna" sheetId="1" r:id="rId1"/>
    <sheet name="JST - podmiot zewnętrzny" sheetId="2" r:id="rId2"/>
    <sheet name="JST - zakład budżetowy" sheetId="3" r:id="rId3"/>
    <sheet name="Spółka komunalna" sheetId="4" r:id="rId4"/>
    <sheet name="Podmiot zewnętrzny" sheetId="5" r:id="rId5"/>
    <sheet name="EDB" sheetId="6" r:id="rId6"/>
  </sheets>
  <definedNames>
    <definedName name="_xlnm.Print_Area" localSheetId="0">'JST - spółka komunalna'!$A$10:$M$192</definedName>
  </definedNames>
  <calcPr fullCalcOnLoad="1"/>
</workbook>
</file>

<file path=xl/sharedStrings.xml><?xml version="1.0" encoding="utf-8"?>
<sst xmlns="http://schemas.openxmlformats.org/spreadsheetml/2006/main" count="1030" uniqueCount="230">
  <si>
    <t>Założenia</t>
  </si>
  <si>
    <t>Uproszczony rachunek zysków i strat</t>
  </si>
  <si>
    <t>Przychody ze sprzedaży</t>
  </si>
  <si>
    <t>Koszty finansowe</t>
  </si>
  <si>
    <t>Podatek dochodowy</t>
  </si>
  <si>
    <t>Rok 1</t>
  </si>
  <si>
    <t xml:space="preserve">Zysk (strata) z działalności operacyjnej </t>
  </si>
  <si>
    <t>Zysk (strata) z działalności gospodarczej</t>
  </si>
  <si>
    <t>Zysk (strata) brutto</t>
  </si>
  <si>
    <t>Zysk (strata) netto</t>
  </si>
  <si>
    <t xml:space="preserve">Dopłata </t>
  </si>
  <si>
    <t>sprzedaż surowców wtórnych</t>
  </si>
  <si>
    <t>opłaty za przyjęcie odpadów</t>
  </si>
  <si>
    <t>sprzedaż energii elektrycznej lub ciepła</t>
  </si>
  <si>
    <t>sprzedaż świadectw pochodzenia energii</t>
  </si>
  <si>
    <t>Przychody ze sprzedaży, w tym:</t>
  </si>
  <si>
    <t xml:space="preserve">Zysk (strata) ze sprzedaży   </t>
  </si>
  <si>
    <t>Koszty działalności operacyjnej,  w tym:</t>
  </si>
  <si>
    <t>amortyzacja, w tym:</t>
  </si>
  <si>
    <t>amortyzacja od środków trwałych
w części sfinansowanej ze środków pomocowych</t>
  </si>
  <si>
    <t>Pozostałe przychody operacyjne (sprzedaż ŚT)</t>
  </si>
  <si>
    <t>Pozostałe koszty operacyjne (sprzedaż ŚT)</t>
  </si>
  <si>
    <t>rekompensata</t>
  </si>
  <si>
    <t>Dzierżawa gruntu "za 1 zł"</t>
  </si>
  <si>
    <t>wartość wnoszonego aportu</t>
  </si>
  <si>
    <t>wartość wkładu</t>
  </si>
  <si>
    <t>aport 2</t>
  </si>
  <si>
    <t>aport 1</t>
  </si>
  <si>
    <t>za wkład pieniężny 1</t>
  </si>
  <si>
    <t>za wkład pieniężny 2</t>
  </si>
  <si>
    <t>wartość rynkowa świadczenia (rocznie)</t>
  </si>
  <si>
    <t>odpłatność (rocznie)</t>
  </si>
  <si>
    <t>wartość rynkowa świadczenia lub śwaidczenia podobnego (rocznie)</t>
  </si>
  <si>
    <t>Koszty finansowe, w tym:</t>
  </si>
  <si>
    <t>odsetki od preferencyjnego kredytu na zakup maszyny do używanej do przerobu odpadów</t>
  </si>
  <si>
    <t>kredyt kupiecki na zakup pojemnków na odpady do dalszej odsprzedaży</t>
  </si>
  <si>
    <t>Przychody finansowe (odsetki z rachunku bieżącego)</t>
  </si>
  <si>
    <t>Podwyższnie kapitału,  w tym:</t>
  </si>
  <si>
    <t>Użyczenie (nieodpłatne) pojazdów, maszyn, urządzeń, gruntów itp. (związane z odpadami)</t>
  </si>
  <si>
    <t>1.</t>
  </si>
  <si>
    <t>2.</t>
  </si>
  <si>
    <t>3.</t>
  </si>
  <si>
    <t>4.</t>
  </si>
  <si>
    <t>5.</t>
  </si>
  <si>
    <t>odsetki od kredytu na warunkach preferencyjnych (rocznie)</t>
  </si>
  <si>
    <t>odsetki od kredytu na warunkach rynkowych (rocznie)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</si>
  <si>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</si>
  <si>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</si>
  <si>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</si>
  <si>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</si>
  <si>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</si>
  <si>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</si>
  <si>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</si>
  <si>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</si>
  <si>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</si>
  <si>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</si>
  <si>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</si>
  <si>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</si>
  <si>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6.</t>
  </si>
  <si>
    <t>Amortyzacja od środków trwałych w części sfinansowanej ze środków pomocowych</t>
  </si>
  <si>
    <t>Kredyt na zakup maszyny do używanej do przerobu odpadów na warunkach lepszych niż rynkowe</t>
  </si>
  <si>
    <t>7.</t>
  </si>
  <si>
    <t>koszty finansowe (kredyt kupiecki na zakup pojemnków na odpady do dalszej odsprzedaży)</t>
  </si>
  <si>
    <t>koszty operacyjne - bezpośrednie</t>
  </si>
  <si>
    <t>i.</t>
  </si>
  <si>
    <t>Kalkulacja rekompensaty</t>
  </si>
  <si>
    <t>Koszty działalności polegającej na gospodarce odpadami</t>
  </si>
  <si>
    <t>sprzedaż pojemników na odpady (działalność nie będąca UOIG)</t>
  </si>
  <si>
    <t>Koszty działalności polegającej na sprzedaży pojemników na odpady (działność nie będąca UOIG)</t>
  </si>
  <si>
    <t>Przychody pomniejszające rekompensatę</t>
  </si>
  <si>
    <t>(+) koszty działalności operacyjnej ogółem (razem z amortyzacją)</t>
  </si>
  <si>
    <t>(+) koszty finansowe</t>
  </si>
  <si>
    <t>(-) amortyzacja od środków trwałych w części sfinansowanej ze środków pomocowych</t>
  </si>
  <si>
    <t>(-) opłaty za przyjęcie odpadów</t>
  </si>
  <si>
    <t>(-) sprzedaż energii elektrycznej lub ciepła</t>
  </si>
  <si>
    <t>(-) sprzedaż świadectw pochodzenia energii</t>
  </si>
  <si>
    <t>(-) sprzedaż surowców wtórnych</t>
  </si>
  <si>
    <t>(-) koszty działalności polegającej na sprzedaży pojemników na odpady (działalność nie będąca UOIG)</t>
  </si>
  <si>
    <t>Inne pomniejszenia rekompensaty</t>
  </si>
  <si>
    <t xml:space="preserve">(-) Dopłata </t>
  </si>
  <si>
    <t>(-) Użyczenie (nieodpłatne) pojazdów, maszyn, urządzeń, gruntów itp. (związane z odpadami)</t>
  </si>
  <si>
    <t>(-) Dzierżawa gruntu "za 1 zł"</t>
  </si>
  <si>
    <t>(-) Kredyt na zakup maszyny do używanej do przerobu odpadów na warunkach lepszych niż rynkowe</t>
  </si>
  <si>
    <t>(-) Podwyższnie kapitału,  w tym:</t>
  </si>
  <si>
    <t>(-) aport 1</t>
  </si>
  <si>
    <t>(-) aport 2</t>
  </si>
  <si>
    <t>(-) za wkład pieniężny 1</t>
  </si>
  <si>
    <t>(-) za wkład pieniężny 2</t>
  </si>
  <si>
    <t>(-) Ekwiwalent dotacji brutto:</t>
  </si>
  <si>
    <t>Rozsądny zysk</t>
  </si>
  <si>
    <t>Zdażenia lub kwoty, które należy uwzględnić w rekompensacie</t>
  </si>
  <si>
    <t xml:space="preserve">2. </t>
  </si>
  <si>
    <t xml:space="preserve">3. </t>
  </si>
  <si>
    <t>(-) przychody finansowe</t>
  </si>
  <si>
    <t>(-) sprzedaż pojemników na odpady 
    (działalność nie będąca UOIG, lecz przychody są osiągnane w związku ze świadczeniem UOIG)</t>
  </si>
  <si>
    <t>Spółce przekazano w formie użyczenia maszyny, urządzenia i grunty w celu prowadzenia działalności polegającej na gospodarce odpadami</t>
  </si>
  <si>
    <t>Spółce wydzierżawiono grunt na preferencyjnych warunkach ("za 1 zł")</t>
  </si>
  <si>
    <t>Wartość w ewidencji księgowej</t>
  </si>
  <si>
    <t>Spółka otrzymała dotację z EFRR na zakup środków trwałych (maszyn) do przetwarzania odpadów</t>
  </si>
  <si>
    <t>(roczny odpis amortyzacyjny w części sfinansowanej z dotacji)</t>
  </si>
  <si>
    <t>odsetki od kredytu preferencyjnego (rocznie)</t>
  </si>
  <si>
    <t>a.</t>
  </si>
  <si>
    <t>b.</t>
  </si>
  <si>
    <t>Spółce podwyższono kapitał zakałdowy (akcyjny), w tym:</t>
  </si>
  <si>
    <t>wartość otrzymanych świadczeń nieodpłatnych lub częściowo odpłatnych</t>
  </si>
  <si>
    <t>(Podstawa opodatkowania - korekta o koszty niepodatkowe - amortyzacja od ŚT sfinansowanych dotacją)</t>
  </si>
  <si>
    <t>Weryfikacja osiągniętego zwrotu z inwestycji, tzw. rozsądnego zysku</t>
  </si>
  <si>
    <t>Spółka otrzymała dopłatę od udziałowców (ew. akcjonariuszy)</t>
  </si>
  <si>
    <t>Otrzymana rekompensata</t>
  </si>
  <si>
    <t>(1+2+3+4) Rekompensata skalkulowana zgodnie z Decyzją KE 2012/21/UE</t>
  </si>
  <si>
    <t>w tym uwzglęniono rozsądny zysk w wysokości</t>
  </si>
  <si>
    <t>Wpływy</t>
  </si>
  <si>
    <t>Wydatki</t>
  </si>
  <si>
    <t>Spółka otrzymała rekompensatę w wysokości</t>
  </si>
  <si>
    <t>Plan na rok 2</t>
  </si>
  <si>
    <t>Plan na rok 3</t>
  </si>
  <si>
    <t>Plan na rok 4</t>
  </si>
  <si>
    <t>Plan na rok 5</t>
  </si>
  <si>
    <t>Plan na rok 6</t>
  </si>
  <si>
    <t>Plan na rok 7</t>
  </si>
  <si>
    <t>Plan na rok 8</t>
  </si>
  <si>
    <t>Plan na rok 9</t>
  </si>
  <si>
    <t>Plan na rok 10</t>
  </si>
  <si>
    <t>Zaciągnięcie kredytów i pożyczek</t>
  </si>
  <si>
    <t>Podwyższenie kapitału (wkład pieniężny)</t>
  </si>
  <si>
    <t>Dotacje</t>
  </si>
  <si>
    <t>Dopłaty</t>
  </si>
  <si>
    <t xml:space="preserve">Kapitał własny </t>
  </si>
  <si>
    <t>Wydatek udziałowców/akcjonariuszy Spółki</t>
  </si>
  <si>
    <t xml:space="preserve">Koszty działalności operacyjnej bez amortyzacji </t>
  </si>
  <si>
    <t>8.</t>
  </si>
  <si>
    <t>część rozliczonej amortyzacji</t>
  </si>
  <si>
    <t>koszty operacyjne - pośrednie i ogólne, w tym:</t>
  </si>
  <si>
    <t>Spłata kredytów i pożyczek</t>
  </si>
  <si>
    <t>Wydatki inwestycyjne (środki trwałe w budowie)</t>
  </si>
  <si>
    <t>odsetki od kredytu komercyjnego na zakup maszyny do używanej do przerobu odpadów</t>
  </si>
  <si>
    <t>Spółka zaciągnęła kredyt preferencyjny z WFOŚ na zakup maszyn do sortowania odpadów</t>
  </si>
  <si>
    <t>Spółka zaciągnęła kredyt komercyjny na zakup maszyn do przerobu odpadów</t>
  </si>
  <si>
    <t>roczna wartość odsetek</t>
  </si>
  <si>
    <t>9.</t>
  </si>
  <si>
    <t>IRR</t>
  </si>
  <si>
    <t>CF - przepływy pieniężne projektu</t>
  </si>
  <si>
    <t>Różnica (+) nadmierna, (-) poniżej limitu</t>
  </si>
  <si>
    <t>wartość wkładów pieniężnych</t>
  </si>
  <si>
    <t>Beneficjent: PODMIOT ZEWNĘTRZNY (spółka kapitałowa)</t>
  </si>
  <si>
    <r>
      <rPr>
        <sz val="10"/>
        <color theme="1"/>
        <rFont val="Calibri"/>
        <family val="2"/>
      </rPr>
      <t>wartość otrzymanych świadczeń nieodpłatnych lub częściowo odpłatnych</t>
    </r>
    <r>
      <rPr>
        <b/>
        <sz val="10"/>
        <color indexed="8"/>
        <rFont val="Calibri"/>
        <family val="2"/>
      </rPr>
      <t xml:space="preserve"> 
(zwolnienie, art. 12 ust. 1 pkt 2 ust. o pod. doch. od os. prawn.)</t>
    </r>
  </si>
  <si>
    <t>Beneficjent: SPÓŁKA KOMUNALNA (100% udziałowiec lub akcjonariusz to JST)</t>
  </si>
  <si>
    <t>Ulga podatkowa - zwolnienie z wykazywania przychodów ze świadczeń częściowo odpłatnych lub nieodpłatnych (art. 12 ust. 1 pkt 2 ust. o pod. doch. od os. prawn.) od JST</t>
  </si>
  <si>
    <t>Spółce przekazano (JST) w formie użyczenia maszyny, urządzenia i grunty w celu prowadzenia działalności polegającej na gospodarce odpadami</t>
  </si>
  <si>
    <t>Spółce wydzierżawiono (JST)  grunt na preferencyjnych warunkach ("za 1 zł")</t>
  </si>
  <si>
    <t>wartość przychodów zwolnionych z opodatkowania</t>
  </si>
  <si>
    <t>ulga w podatku od przychodów zwolnionych</t>
  </si>
  <si>
    <t>(-) Ulga podatkowa</t>
  </si>
  <si>
    <t>Wydatek udziałowców/akcjonariuszy Spółki (JST)</t>
  </si>
  <si>
    <t>wkład pieniężny 1</t>
  </si>
  <si>
    <t>wkład pieniężny 2</t>
  </si>
  <si>
    <t>Beneficjent: JST</t>
  </si>
  <si>
    <t>Korzystający: SPÓŁKA KOMUNALNA (100% udziałowiec lub akcjonariusz to JST)</t>
  </si>
  <si>
    <t>Spółka otrzymała dotację na zakup środków trwałych (maszyn) do przetwarzania odpadów</t>
  </si>
  <si>
    <t>JST będąc beneficjentem przekazała Spółce w formie użyczenia maszyny i urządzenia w celu prowadzenia działalności polegającej na gospodarce odpadami</t>
  </si>
  <si>
    <t>JST wydzierżawiła Spółcegrunt na preferencyjnych warunkach ("za 1 zł")</t>
  </si>
  <si>
    <t>Korzystający: PODMIOT ZEWNĘTRZNY (spółka kapitałowa)</t>
  </si>
  <si>
    <t xml:space="preserve">4. </t>
  </si>
  <si>
    <t>wartość aportów (maszyny i urządzenia do gospodarowania odpadami)</t>
  </si>
  <si>
    <t>JST wydzierżawiła Spółce grunt na preferencyjnych warunkach ("za 1 zł")</t>
  </si>
  <si>
    <t>Korzystający: ZAKŁAD BUDŻETOWY (JST)</t>
  </si>
  <si>
    <t>Zakład otrzymał rekompensatę w wysokości</t>
  </si>
  <si>
    <t>Zakład zaciągnął kredyt preferencyjny z WFOŚ na zakup maszyn do sortowania odpadów</t>
  </si>
  <si>
    <t>JST będąc beneficjentem pomocy przekazała zakładowi budżetowemu maszyny i urządzenia w celu prowadzenia działalności polegającej na gospodarce odpadami</t>
  </si>
  <si>
    <t>Przekazanie przez JST (nieodpłatne) pojazdów, maszyn, urządzeń, gruntów itp. (związane z odpadami)</t>
  </si>
  <si>
    <t>Przekazany majątek</t>
  </si>
  <si>
    <t>Kapitał zakładu w momencie jego utworzenia (BO)</t>
  </si>
  <si>
    <t>Kapitał własny spółki w momencie jej utworzenia (BO)</t>
  </si>
  <si>
    <t>* według rozp.Rady Min. w zakresie określania ekwiwalentu dotacji</t>
  </si>
  <si>
    <t>*średnia wartość obejmowanych za aport udziałów/akcji</t>
  </si>
  <si>
    <t xml:space="preserve">*średnia wartość obejmowanych za aport udziałów/akcji </t>
  </si>
  <si>
    <t>*średnia wartość obejmowanych udziałów/akcji</t>
  </si>
  <si>
    <t>Podwyższnia kapitału,  w tym:</t>
  </si>
  <si>
    <t>Spółce podwyższano kapitał zakałdowy (akcyjny), w tym:</t>
  </si>
  <si>
    <r>
      <t>Uproszczony rachunek przepływów pieniężnych - CF   (</t>
    </r>
    <r>
      <rPr>
        <b/>
        <u val="single"/>
        <sz val="10"/>
        <color indexed="8"/>
        <rFont val="Calibri"/>
        <family val="2"/>
      </rPr>
      <t>tylko dla działalności dotyczącej gospodarki opdadami</t>
    </r>
    <r>
      <rPr>
        <b/>
        <sz val="10"/>
        <color indexed="8"/>
        <rFont val="Calibri"/>
        <family val="2"/>
      </rPr>
      <t>) - przepływy przedsięwziecia polegającego na śwaidczeniu UOIG w zakresie odpadów</t>
    </r>
  </si>
  <si>
    <t>1. Dotacja</t>
  </si>
  <si>
    <t>Kwota dotacji:</t>
  </si>
  <si>
    <t>EDB = Kwota dotacji</t>
  </si>
  <si>
    <t>2. Ulga podatkowa</t>
  </si>
  <si>
    <t>Zapłacony podatek</t>
  </si>
  <si>
    <t>Podatek do zapłacenia bez ulgi</t>
  </si>
  <si>
    <t>EDB=</t>
  </si>
  <si>
    <t>3. Dokapitalizowanie</t>
  </si>
  <si>
    <t>Kwota dokapitalizowania</t>
  </si>
  <si>
    <t>Liczba nowych udziałów</t>
  </si>
  <si>
    <t>Kapitał własny przed dokapitalizowaniem</t>
  </si>
  <si>
    <t>Liczba udziałów przed dokapitalizowaniem</t>
  </si>
  <si>
    <t>D=</t>
  </si>
  <si>
    <t>E=</t>
  </si>
  <si>
    <t>n=</t>
  </si>
  <si>
    <t>nd=</t>
  </si>
  <si>
    <t>Ustalona odpłatność za dzierżawę gruntu od JST</t>
  </si>
  <si>
    <t>Okres umowy</t>
  </si>
  <si>
    <t>10 lat</t>
  </si>
  <si>
    <t>Wartość rynkowa dzierżawy (rocznie)</t>
  </si>
  <si>
    <t>Stopa dyskontowa (ustalona na podstawie stopy referencyjnej)*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</si>
  <si>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</si>
  <si>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</si>
  <si>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</si>
  <si>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</si>
  <si>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</si>
  <si>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</si>
  <si>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</si>
  <si>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</si>
  <si>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</si>
  <si>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</si>
  <si>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Or=</t>
  </si>
  <si>
    <t>Op=</t>
  </si>
  <si>
    <t>Or-Op=</t>
  </si>
  <si>
    <t>rd=</t>
  </si>
  <si>
    <t>(1+rd)^i=</t>
  </si>
  <si>
    <t>okres płatności</t>
  </si>
  <si>
    <t>Roczna wartość EDB=</t>
  </si>
  <si>
    <t>Stopa podatkowa</t>
  </si>
  <si>
    <t>Podatek</t>
  </si>
  <si>
    <t>Podstawa opodatkowania przy skorzystaniu z ulgi (zwolnienia)</t>
  </si>
  <si>
    <t>Podstawa opodatkowania bez korzystania z ulgi (zwolnienia)</t>
  </si>
  <si>
    <t xml:space="preserve">Okres kredytowania </t>
  </si>
  <si>
    <t>Umowna wartość odsetek rocznie</t>
  </si>
  <si>
    <t>Rynkowa wartość odsetek rocznie</t>
  </si>
  <si>
    <t>Różnica</t>
  </si>
  <si>
    <t>5. Kredyt preferencyjny</t>
  </si>
  <si>
    <t>Typowe przykłady obliczania ekwiwalentu dotacji brutto (EDB)</t>
  </si>
  <si>
    <t>4. Oddanie do korzystania mienia Skarbu Państwa lub jednostki samorządu terytorialnego na warunkach korzystnieszych niż rynkowe</t>
  </si>
  <si>
    <t>amortyzacja od środków trwałych w części sfinansowanej ze środków pomocowych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</si>
</sst>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0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i/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4" fillId="0" borderId="0" xfId="0" applyFont="1" applyAlignment="1">
      <alignment horizontal="left" vertical="center"/>
    </xf>
    <xf numFmtId="4" fontId="4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46" fillId="9" borderId="10" xfId="0" applyFont="1" applyFill="1" applyBorder="1" applyAlignment="1">
      <alignment horizontal="left" vertical="center"/>
    </xf>
    <xf numFmtId="0" fontId="46" fillId="9" borderId="11" xfId="0" applyFont="1" applyFill="1" applyBorder="1" applyAlignment="1">
      <alignment vertical="center"/>
    </xf>
    <xf numFmtId="4" fontId="46" fillId="9" borderId="12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46" fillId="9" borderId="12" xfId="52" applyNumberFormat="1" applyFont="1" applyFill="1" applyBorder="1" applyAlignment="1">
      <alignment vertical="center"/>
    </xf>
    <xf numFmtId="4" fontId="46" fillId="9" borderId="12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44" fillId="0" borderId="15" xfId="0" applyFont="1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1"/>
    </xf>
    <xf numFmtId="4" fontId="0" fillId="0" borderId="16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/>
    </xf>
    <xf numFmtId="0" fontId="44" fillId="33" borderId="18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4" fontId="44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4" fontId="0" fillId="0" borderId="16" xfId="0" applyNumberForma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2"/>
    </xf>
    <xf numFmtId="0" fontId="44" fillId="34" borderId="15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vertical="center"/>
    </xf>
    <xf numFmtId="4" fontId="44" fillId="34" borderId="16" xfId="0" applyNumberFormat="1" applyFont="1" applyFill="1" applyBorder="1" applyAlignment="1">
      <alignment vertical="center"/>
    </xf>
    <xf numFmtId="0" fontId="44" fillId="34" borderId="17" xfId="0" applyFont="1" applyFill="1" applyBorder="1" applyAlignment="1">
      <alignment horizontal="center" vertical="center"/>
    </xf>
    <xf numFmtId="4" fontId="44" fillId="34" borderId="19" xfId="0" applyNumberFormat="1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4" fontId="49" fillId="0" borderId="16" xfId="0" applyNumberFormat="1" applyFont="1" applyBorder="1" applyAlignment="1">
      <alignment vertical="center"/>
    </xf>
    <xf numFmtId="0" fontId="44" fillId="34" borderId="20" xfId="0" applyFont="1" applyFill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 indent="3"/>
    </xf>
    <xf numFmtId="0" fontId="44" fillId="0" borderId="16" xfId="0" applyFont="1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4" fontId="0" fillId="34" borderId="16" xfId="0" applyNumberFormat="1" applyFill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4" fontId="0" fillId="0" borderId="19" xfId="0" applyNumberFormat="1" applyBorder="1" applyAlignment="1">
      <alignment vertical="center"/>
    </xf>
    <xf numFmtId="0" fontId="44" fillId="34" borderId="15" xfId="0" applyFont="1" applyFill="1" applyBorder="1" applyAlignment="1">
      <alignment horizontal="left"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 quotePrefix="1">
      <alignment vertical="center" wrapText="1"/>
    </xf>
    <xf numFmtId="0" fontId="44" fillId="0" borderId="0" xfId="0" applyFont="1" applyBorder="1" applyAlignment="1" quotePrefix="1">
      <alignment vertical="center"/>
    </xf>
    <xf numFmtId="0" fontId="44" fillId="0" borderId="0" xfId="0" applyFont="1" applyBorder="1" applyAlignment="1" quotePrefix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44" fillId="0" borderId="0" xfId="0" applyFont="1" applyBorder="1" applyAlignment="1">
      <alignment horizontal="left" vertical="center" indent="1"/>
    </xf>
    <xf numFmtId="0" fontId="44" fillId="33" borderId="14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0" fontId="44" fillId="3" borderId="18" xfId="0" applyFont="1" applyFill="1" applyBorder="1" applyAlignment="1">
      <alignment horizontal="center" vertical="center"/>
    </xf>
    <xf numFmtId="4" fontId="44" fillId="34" borderId="0" xfId="0" applyNumberFormat="1" applyFont="1" applyFill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0" fontId="44" fillId="34" borderId="0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/>
    </xf>
    <xf numFmtId="4" fontId="44" fillId="34" borderId="20" xfId="0" applyNumberFormat="1" applyFont="1" applyFill="1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/>
    </xf>
    <xf numFmtId="0" fontId="0" fillId="35" borderId="11" xfId="0" applyFill="1" applyBorder="1" applyAlignment="1">
      <alignment vertical="center"/>
    </xf>
    <xf numFmtId="4" fontId="0" fillId="35" borderId="12" xfId="0" applyNumberFormat="1" applyFill="1" applyBorder="1" applyAlignment="1">
      <alignment vertical="center"/>
    </xf>
    <xf numFmtId="4" fontId="44" fillId="0" borderId="16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 indent="1"/>
    </xf>
    <xf numFmtId="0" fontId="44" fillId="0" borderId="15" xfId="0" applyFont="1" applyBorder="1" applyAlignment="1">
      <alignment horizontal="center" vertical="top"/>
    </xf>
    <xf numFmtId="0" fontId="44" fillId="34" borderId="0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horizontal="center" vertical="top"/>
    </xf>
    <xf numFmtId="0" fontId="44" fillId="9" borderId="15" xfId="0" applyFont="1" applyFill="1" applyBorder="1" applyAlignment="1">
      <alignment horizontal="left" vertical="top"/>
    </xf>
    <xf numFmtId="0" fontId="44" fillId="9" borderId="0" xfId="0" applyFont="1" applyFill="1" applyBorder="1" applyAlignment="1">
      <alignment vertical="center" wrapText="1"/>
    </xf>
    <xf numFmtId="4" fontId="44" fillId="9" borderId="16" xfId="0" applyNumberFormat="1" applyFont="1" applyFill="1" applyBorder="1" applyAlignment="1">
      <alignment vertical="center"/>
    </xf>
    <xf numFmtId="0" fontId="44" fillId="9" borderId="15" xfId="0" applyFont="1" applyFill="1" applyBorder="1" applyAlignment="1">
      <alignment vertical="center"/>
    </xf>
    <xf numFmtId="0" fontId="44" fillId="9" borderId="15" xfId="0" applyFont="1" applyFill="1" applyBorder="1" applyAlignment="1">
      <alignment horizontal="center" vertical="top"/>
    </xf>
    <xf numFmtId="0" fontId="44" fillId="9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44" fillId="0" borderId="15" xfId="0" applyFont="1" applyFill="1" applyBorder="1" applyAlignment="1">
      <alignment horizontal="left" vertical="top"/>
    </xf>
    <xf numFmtId="0" fontId="44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top"/>
    </xf>
    <xf numFmtId="0" fontId="44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3"/>
    </xf>
    <xf numFmtId="0" fontId="50" fillId="36" borderId="10" xfId="0" applyFont="1" applyFill="1" applyBorder="1" applyAlignment="1">
      <alignment horizontal="left" vertical="center"/>
    </xf>
    <xf numFmtId="0" fontId="0" fillId="36" borderId="11" xfId="0" applyFill="1" applyBorder="1" applyAlignment="1">
      <alignment vertical="center"/>
    </xf>
    <xf numFmtId="4" fontId="0" fillId="36" borderId="12" xfId="0" applyNumberFormat="1" applyFill="1" applyBorder="1" applyAlignment="1">
      <alignment vertical="center"/>
    </xf>
    <xf numFmtId="0" fontId="44" fillId="0" borderId="0" xfId="0" applyFont="1" applyAlignment="1">
      <alignment/>
    </xf>
    <xf numFmtId="44" fontId="0" fillId="0" borderId="0" xfId="58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right"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44" fontId="0" fillId="34" borderId="0" xfId="58" applyFont="1" applyFill="1" applyAlignment="1">
      <alignment/>
    </xf>
    <xf numFmtId="0" fontId="44" fillId="3" borderId="0" xfId="0" applyFont="1" applyFill="1" applyAlignment="1">
      <alignment/>
    </xf>
    <xf numFmtId="44" fontId="44" fillId="3" borderId="0" xfId="0" applyNumberFormat="1" applyFont="1" applyFill="1" applyAlignment="1">
      <alignment/>
    </xf>
    <xf numFmtId="44" fontId="44" fillId="3" borderId="0" xfId="58" applyFont="1" applyFill="1" applyAlignment="1">
      <alignment/>
    </xf>
    <xf numFmtId="0" fontId="44" fillId="3" borderId="0" xfId="0" applyFont="1" applyFill="1" applyAlignment="1">
      <alignment horizontal="right"/>
    </xf>
    <xf numFmtId="10" fontId="0" fillId="0" borderId="0" xfId="0" applyNumberFormat="1" applyAlignment="1">
      <alignment/>
    </xf>
    <xf numFmtId="9" fontId="0" fillId="0" borderId="0" xfId="58" applyNumberFormat="1" applyFont="1" applyAlignment="1">
      <alignment/>
    </xf>
    <xf numFmtId="0" fontId="44" fillId="33" borderId="21" xfId="0" applyFont="1" applyFill="1" applyBorder="1" applyAlignment="1">
      <alignment horizontal="center"/>
    </xf>
    <xf numFmtId="44" fontId="0" fillId="0" borderId="21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3" fontId="0" fillId="0" borderId="21" xfId="42" applyFont="1" applyBorder="1" applyAlignment="1">
      <alignment/>
    </xf>
    <xf numFmtId="43" fontId="44" fillId="3" borderId="21" xfId="0" applyNumberFormat="1" applyFont="1" applyFill="1" applyBorder="1" applyAlignment="1">
      <alignment/>
    </xf>
    <xf numFmtId="4" fontId="44" fillId="33" borderId="18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2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45</xdr:row>
      <xdr:rowOff>0</xdr:rowOff>
    </xdr:from>
    <xdr:to>
      <xdr:col>1</xdr:col>
      <xdr:colOff>2971800</xdr:colOff>
      <xdr:row>45</xdr:row>
      <xdr:rowOff>28575</xdr:rowOff>
    </xdr:to>
    <xdr:pic>
      <xdr:nvPicPr>
        <xdr:cNvPr id="1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743575"/>
          <a:ext cx="30003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3133725</xdr:colOff>
      <xdr:row>44</xdr:row>
      <xdr:rowOff>76200</xdr:rowOff>
    </xdr:from>
    <xdr:to>
      <xdr:col>6</xdr:col>
      <xdr:colOff>238125</xdr:colOff>
      <xdr:row>44</xdr:row>
      <xdr:rowOff>76200</xdr:rowOff>
    </xdr:to>
    <xdr:pic>
      <xdr:nvPicPr>
        <xdr:cNvPr id="2" name="Obraz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5657850"/>
          <a:ext cx="433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590550</xdr:colOff>
      <xdr:row>64</xdr:row>
      <xdr:rowOff>104775</xdr:rowOff>
    </xdr:from>
    <xdr:ext cx="6429375" cy="1504950"/>
    <xdr:sp>
      <xdr:nvSpPr>
        <xdr:cNvPr id="3" name="pole tekstowe 17"/>
        <xdr:cNvSpPr txBox="1">
          <a:spLocks noChangeArrowheads="1"/>
        </xdr:cNvSpPr>
      </xdr:nvSpPr>
      <xdr:spPr>
        <a:xfrm>
          <a:off x="590550" y="8924925"/>
          <a:ext cx="64293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*Stopa referencyjna to stopa oprocentowania wykorzystywana do obliczania wartości pomocy publicznej udzielanej w takich formach jak: pożyczka, odroczenie terminu płatności, rozłożenie płatności na raty, jak również do dyskontowania pomocy. Do dnia 30 czerwca 2008 r. była ona okresowo ustalana przez Komisję Europejską na podstawie obiektywnych kryteriów i publikowana w Dzienniku Urzędowym Unii Europejskiej. 
W związku ze zmianą metody ustalania stóp referencyjnych i dyskontowych, ogłoszonej w Komunikaccie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KE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od dnia 1 lipca 2008 r. KE nie publikuje już stopy referencyjnej tylko tzw. stopę bazową, która stanowi podstawę do obliczenia stopy referencyjnej. Stopę referencyjną, w zależności od zastosowania, ustala się poprzez dodanie do podanej stopy bazowej odpowiedniej marży określonej w Komunikacie KE. W przypadku stosowania stopy referencyjnej jako stopy dyskontowej do stopy bazowej należy dodać marżę 100 punktów bazowych.</a:t>
          </a:r>
        </a:p>
      </xdr:txBody>
    </xdr:sp>
    <xdr:clientData/>
  </xdr:oneCellAnchor>
  <xdr:twoCellAnchor editAs="oneCell">
    <xdr:from>
      <xdr:col>6</xdr:col>
      <xdr:colOff>47625</xdr:colOff>
      <xdr:row>59</xdr:row>
      <xdr:rowOff>142875</xdr:rowOff>
    </xdr:from>
    <xdr:to>
      <xdr:col>8</xdr:col>
      <xdr:colOff>457200</xdr:colOff>
      <xdr:row>59</xdr:row>
      <xdr:rowOff>142875</xdr:rowOff>
    </xdr:to>
    <xdr:pic>
      <xdr:nvPicPr>
        <xdr:cNvPr id="4" name="Obraz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815340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65</xdr:row>
      <xdr:rowOff>95250</xdr:rowOff>
    </xdr:from>
    <xdr:to>
      <xdr:col>10</xdr:col>
      <xdr:colOff>238125</xdr:colOff>
      <xdr:row>65</xdr:row>
      <xdr:rowOff>95250</xdr:rowOff>
    </xdr:to>
    <xdr:pic>
      <xdr:nvPicPr>
        <xdr:cNvPr id="5" name="Obraz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9077325"/>
          <a:ext cx="403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60</xdr:row>
      <xdr:rowOff>66675</xdr:rowOff>
    </xdr:from>
    <xdr:to>
      <xdr:col>8</xdr:col>
      <xdr:colOff>257175</xdr:colOff>
      <xdr:row>65</xdr:row>
      <xdr:rowOff>76200</xdr:rowOff>
    </xdr:to>
    <xdr:pic>
      <xdr:nvPicPr>
        <xdr:cNvPr id="6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8239125"/>
          <a:ext cx="2105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66</xdr:row>
      <xdr:rowOff>19050</xdr:rowOff>
    </xdr:from>
    <xdr:to>
      <xdr:col>10</xdr:col>
      <xdr:colOff>114300</xdr:colOff>
      <xdr:row>72</xdr:row>
      <xdr:rowOff>123825</xdr:rowOff>
    </xdr:to>
    <xdr:pic>
      <xdr:nvPicPr>
        <xdr:cNvPr id="7" name="Obraz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0" y="9163050"/>
          <a:ext cx="4029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85725</xdr:rowOff>
    </xdr:from>
    <xdr:to>
      <xdr:col>1</xdr:col>
      <xdr:colOff>2933700</xdr:colOff>
      <xdr:row>50</xdr:row>
      <xdr:rowOff>142875</xdr:rowOff>
    </xdr:to>
    <xdr:pic>
      <xdr:nvPicPr>
        <xdr:cNvPr id="8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29300"/>
          <a:ext cx="2933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45</xdr:row>
      <xdr:rowOff>0</xdr:rowOff>
    </xdr:from>
    <xdr:to>
      <xdr:col>7</xdr:col>
      <xdr:colOff>314325</xdr:colOff>
      <xdr:row>50</xdr:row>
      <xdr:rowOff>114300</xdr:rowOff>
    </xdr:to>
    <xdr:pic>
      <xdr:nvPicPr>
        <xdr:cNvPr id="9" name="Obraz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743575"/>
          <a:ext cx="524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0:N192"/>
  <sheetViews>
    <sheetView showGridLines="0" view="pageBreakPreview" zoomScale="60" zoomScalePageLayoutView="0" workbookViewId="0" topLeftCell="A10">
      <selection activeCell="A10" sqref="A10:D43"/>
    </sheetView>
  </sheetViews>
  <sheetFormatPr defaultColWidth="0" defaultRowHeight="12.75" zeroHeight="1"/>
  <cols>
    <col min="1" max="1" width="3.421875" style="2" customWidth="1"/>
    <col min="2" max="2" width="2.421875" style="4" customWidth="1"/>
    <col min="3" max="3" width="83.7109375" style="2" customWidth="1"/>
    <col min="4" max="4" width="19.28125" style="3" customWidth="1"/>
    <col min="5" max="13" width="12.7109375" style="3" customWidth="1"/>
    <col min="14" max="14" width="3.8515625" style="3" customWidth="1"/>
    <col min="15" max="16384" width="9.140625" style="2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2:4" ht="18.75">
      <c r="B10" s="77" t="s">
        <v>156</v>
      </c>
      <c r="C10" s="78"/>
      <c r="D10" s="79"/>
    </row>
    <row r="11" spans="2:4" ht="18.75">
      <c r="B11" s="77" t="s">
        <v>157</v>
      </c>
      <c r="C11" s="78"/>
      <c r="D11" s="79"/>
    </row>
    <row r="12" ht="12.75"/>
    <row r="13" spans="2:14" ht="15.75">
      <c r="B13" s="15" t="s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>
      <c r="B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34.5" customHeight="1">
      <c r="B15" s="21"/>
      <c r="C15" s="97"/>
      <c r="D15" s="124" t="s">
        <v>97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23" t="s">
        <v>39</v>
      </c>
      <c r="C16" s="24" t="s">
        <v>113</v>
      </c>
      <c r="D16" s="26">
        <v>75000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23"/>
      <c r="C17" s="25" t="s">
        <v>110</v>
      </c>
      <c r="D17" s="26">
        <v>200000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5.5">
      <c r="B18" s="85" t="s">
        <v>91</v>
      </c>
      <c r="C18" s="86" t="s">
        <v>159</v>
      </c>
      <c r="D18" s="87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 s="23" t="s">
        <v>92</v>
      </c>
      <c r="C19" s="24" t="s">
        <v>107</v>
      </c>
      <c r="D19" s="26">
        <v>50000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23" t="s">
        <v>42</v>
      </c>
      <c r="C20" s="24" t="s">
        <v>178</v>
      </c>
      <c r="D20" s="51">
        <v>250000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89" t="s">
        <v>101</v>
      </c>
      <c r="C21" s="90" t="s">
        <v>163</v>
      </c>
      <c r="D21" s="87">
        <v>100000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34"/>
      <c r="C22" s="52" t="s">
        <v>27</v>
      </c>
      <c r="D22" s="26"/>
      <c r="N22" s="2"/>
    </row>
    <row r="23" spans="2:14" ht="12.75">
      <c r="B23" s="34"/>
      <c r="C23" s="54" t="s">
        <v>24</v>
      </c>
      <c r="D23" s="26">
        <v>50000</v>
      </c>
      <c r="N23" s="2"/>
    </row>
    <row r="24" spans="2:14" ht="12.75">
      <c r="B24" s="34"/>
      <c r="C24" s="54" t="s">
        <v>175</v>
      </c>
      <c r="D24" s="26">
        <v>50000</v>
      </c>
      <c r="N24" s="2"/>
    </row>
    <row r="25" spans="2:14" ht="12.75">
      <c r="B25" s="34"/>
      <c r="C25" s="52" t="s">
        <v>26</v>
      </c>
      <c r="D25" s="26"/>
      <c r="N25" s="2"/>
    </row>
    <row r="26" spans="2:14" ht="12.75">
      <c r="B26" s="34"/>
      <c r="C26" s="54" t="s">
        <v>24</v>
      </c>
      <c r="D26" s="26">
        <v>50000</v>
      </c>
      <c r="N26" s="2"/>
    </row>
    <row r="27" spans="2:14" ht="12.75">
      <c r="B27" s="34"/>
      <c r="C27" s="54" t="s">
        <v>174</v>
      </c>
      <c r="D27" s="26">
        <v>30000</v>
      </c>
      <c r="N27" s="2"/>
    </row>
    <row r="28" spans="2:14" ht="12.75">
      <c r="B28" s="89" t="s">
        <v>102</v>
      </c>
      <c r="C28" s="90" t="s">
        <v>143</v>
      </c>
      <c r="D28" s="87">
        <v>150000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34"/>
      <c r="C29" s="52" t="s">
        <v>154</v>
      </c>
      <c r="D29" s="26"/>
      <c r="N29" s="2"/>
    </row>
    <row r="30" spans="2:14" ht="12.75">
      <c r="B30" s="34"/>
      <c r="C30" s="54" t="s">
        <v>25</v>
      </c>
      <c r="D30" s="26">
        <v>100000</v>
      </c>
      <c r="N30" s="2"/>
    </row>
    <row r="31" spans="2:14" ht="12.75">
      <c r="B31" s="34"/>
      <c r="C31" s="54" t="s">
        <v>176</v>
      </c>
      <c r="D31" s="26">
        <v>100000</v>
      </c>
      <c r="N31" s="2"/>
    </row>
    <row r="32" spans="2:14" ht="12.75">
      <c r="B32" s="34"/>
      <c r="C32" s="52" t="s">
        <v>155</v>
      </c>
      <c r="D32" s="26"/>
      <c r="N32" s="2"/>
    </row>
    <row r="33" spans="2:14" ht="12.75">
      <c r="B33" s="34"/>
      <c r="C33" s="54" t="s">
        <v>25</v>
      </c>
      <c r="D33" s="26">
        <v>50000</v>
      </c>
      <c r="N33" s="2"/>
    </row>
    <row r="34" spans="2:14" ht="12.75">
      <c r="B34" s="34"/>
      <c r="C34" s="54" t="s">
        <v>176</v>
      </c>
      <c r="D34" s="26">
        <v>40000</v>
      </c>
      <c r="N34" s="2"/>
    </row>
    <row r="35" spans="2:14" ht="12.75">
      <c r="B35" s="85" t="s">
        <v>43</v>
      </c>
      <c r="C35" s="86" t="s">
        <v>164</v>
      </c>
      <c r="D35" s="87">
        <v>1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3" t="s">
        <v>58</v>
      </c>
      <c r="C36" s="27" t="s">
        <v>158</v>
      </c>
      <c r="D36" s="26">
        <v>500000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8"/>
      <c r="C37" s="27" t="s">
        <v>99</v>
      </c>
      <c r="D37" s="26">
        <v>15000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9" t="s">
        <v>61</v>
      </c>
      <c r="C38" s="24" t="s">
        <v>136</v>
      </c>
      <c r="D38" s="26">
        <v>300000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8"/>
      <c r="C39" s="25" t="s">
        <v>100</v>
      </c>
      <c r="D39" s="26">
        <v>8000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30" t="s">
        <v>130</v>
      </c>
      <c r="C40" s="31" t="s">
        <v>137</v>
      </c>
      <c r="D40" s="26">
        <v>100000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8"/>
      <c r="C41" s="25" t="s">
        <v>138</v>
      </c>
      <c r="D41" s="26">
        <v>5000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32" t="s">
        <v>139</v>
      </c>
      <c r="C42" s="76" t="s">
        <v>172</v>
      </c>
      <c r="D42" s="60">
        <v>2000000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4" t="s">
        <v>173</v>
      </c>
      <c r="C43" s="14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2.75">
      <c r="C44" s="14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5.75">
      <c r="B45" s="15" t="s">
        <v>1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1"/>
      <c r="C47" s="22"/>
      <c r="D47" s="33" t="s">
        <v>5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4" ht="12.75">
      <c r="B48" s="34" t="s">
        <v>46</v>
      </c>
      <c r="C48" s="35" t="s">
        <v>15</v>
      </c>
      <c r="D48" s="36">
        <f>SUM(D49:D55)</f>
        <v>125000</v>
      </c>
    </row>
    <row r="49" spans="2:4" ht="12.75">
      <c r="B49" s="37" t="s">
        <v>39</v>
      </c>
      <c r="C49" s="38" t="s">
        <v>12</v>
      </c>
      <c r="D49" s="26">
        <v>30000</v>
      </c>
    </row>
    <row r="50" spans="2:4" ht="12.75">
      <c r="B50" s="37" t="s">
        <v>40</v>
      </c>
      <c r="C50" s="38" t="s">
        <v>13</v>
      </c>
      <c r="D50" s="26">
        <v>4000</v>
      </c>
    </row>
    <row r="51" spans="2:4" ht="12.75">
      <c r="B51" s="37" t="s">
        <v>41</v>
      </c>
      <c r="C51" s="38" t="s">
        <v>14</v>
      </c>
      <c r="D51" s="26">
        <v>1000</v>
      </c>
    </row>
    <row r="52" spans="2:4" ht="12.75">
      <c r="B52" s="37" t="s">
        <v>42</v>
      </c>
      <c r="C52" s="38" t="s">
        <v>11</v>
      </c>
      <c r="D52" s="26">
        <v>10000</v>
      </c>
    </row>
    <row r="53" spans="2:4" ht="12.75">
      <c r="B53" s="37" t="s">
        <v>43</v>
      </c>
      <c r="C53" s="38" t="s">
        <v>67</v>
      </c>
      <c r="D53" s="26">
        <v>5000</v>
      </c>
    </row>
    <row r="54" spans="1:5" ht="12.75">
      <c r="A54" s="17"/>
      <c r="B54" s="37" t="s">
        <v>58</v>
      </c>
      <c r="C54" s="7" t="s">
        <v>22</v>
      </c>
      <c r="D54" s="39">
        <v>75000</v>
      </c>
      <c r="E54" s="18"/>
    </row>
    <row r="55" spans="2:4" ht="25.5">
      <c r="B55" s="82" t="s">
        <v>61</v>
      </c>
      <c r="C55" s="81" t="s">
        <v>145</v>
      </c>
      <c r="D55" s="80">
        <v>0</v>
      </c>
    </row>
    <row r="56" spans="2:4" ht="12.75">
      <c r="B56" s="34" t="s">
        <v>47</v>
      </c>
      <c r="C56" s="35" t="s">
        <v>17</v>
      </c>
      <c r="D56" s="36">
        <v>100000</v>
      </c>
    </row>
    <row r="57" spans="1:4" ht="12.75">
      <c r="A57" s="6"/>
      <c r="B57" s="37" t="s">
        <v>39</v>
      </c>
      <c r="C57" s="40" t="s">
        <v>18</v>
      </c>
      <c r="D57" s="26">
        <v>25000</v>
      </c>
    </row>
    <row r="58" spans="1:4" ht="25.5">
      <c r="A58" s="6"/>
      <c r="B58" s="37" t="s">
        <v>64</v>
      </c>
      <c r="C58" s="41" t="s">
        <v>19</v>
      </c>
      <c r="D58" s="26">
        <v>15000</v>
      </c>
    </row>
    <row r="59" spans="2:4" ht="12.75">
      <c r="B59" s="42" t="s">
        <v>48</v>
      </c>
      <c r="C59" s="43" t="s">
        <v>16</v>
      </c>
      <c r="D59" s="44">
        <f>D48-D56</f>
        <v>25000</v>
      </c>
    </row>
    <row r="60" spans="2:4" ht="12.75">
      <c r="B60" s="34"/>
      <c r="C60" s="17"/>
      <c r="D60" s="26"/>
    </row>
    <row r="61" spans="2:4" ht="12.75">
      <c r="B61" s="34" t="s">
        <v>49</v>
      </c>
      <c r="C61" s="35" t="s">
        <v>20</v>
      </c>
      <c r="D61" s="36">
        <v>10000</v>
      </c>
    </row>
    <row r="62" spans="2:4" ht="12.75">
      <c r="B62" s="34" t="s">
        <v>50</v>
      </c>
      <c r="C62" s="35" t="s">
        <v>21</v>
      </c>
      <c r="D62" s="36">
        <v>8500</v>
      </c>
    </row>
    <row r="63" spans="2:4" ht="12.75">
      <c r="B63" s="42" t="s">
        <v>51</v>
      </c>
      <c r="C63" s="43" t="s">
        <v>6</v>
      </c>
      <c r="D63" s="44">
        <f>D61-D62+D59</f>
        <v>26500</v>
      </c>
    </row>
    <row r="64" spans="2:4" ht="12.75">
      <c r="B64" s="34"/>
      <c r="C64" s="17"/>
      <c r="D64" s="26"/>
    </row>
    <row r="65" spans="2:4" ht="12.75">
      <c r="B65" s="34" t="s">
        <v>52</v>
      </c>
      <c r="C65" s="35" t="s">
        <v>36</v>
      </c>
      <c r="D65" s="36">
        <f>1000</f>
        <v>1000</v>
      </c>
    </row>
    <row r="66" spans="2:4" ht="12.75">
      <c r="B66" s="34" t="s">
        <v>53</v>
      </c>
      <c r="C66" s="35" t="s">
        <v>33</v>
      </c>
      <c r="D66" s="36">
        <f>SUM(D67:D69)</f>
        <v>15000</v>
      </c>
    </row>
    <row r="67" spans="2:4" ht="12.75">
      <c r="B67" s="37" t="s">
        <v>39</v>
      </c>
      <c r="C67" s="40" t="s">
        <v>34</v>
      </c>
      <c r="D67" s="26">
        <v>8000</v>
      </c>
    </row>
    <row r="68" spans="2:4" ht="12.75">
      <c r="B68" s="37" t="s">
        <v>40</v>
      </c>
      <c r="C68" s="40" t="s">
        <v>135</v>
      </c>
      <c r="D68" s="26">
        <v>5000</v>
      </c>
    </row>
    <row r="69" spans="2:4" ht="12.75">
      <c r="B69" s="37" t="s">
        <v>41</v>
      </c>
      <c r="C69" s="40" t="s">
        <v>35</v>
      </c>
      <c r="D69" s="26">
        <v>2000</v>
      </c>
    </row>
    <row r="70" spans="2:4" ht="12.75">
      <c r="B70" s="42" t="s">
        <v>54</v>
      </c>
      <c r="C70" s="43" t="s">
        <v>7</v>
      </c>
      <c r="D70" s="44">
        <f>D65-D66+D63</f>
        <v>12500</v>
      </c>
    </row>
    <row r="71" spans="2:4" ht="12.75">
      <c r="B71" s="34"/>
      <c r="C71" s="17"/>
      <c r="D71" s="26"/>
    </row>
    <row r="72" spans="2:4" ht="12.75">
      <c r="B72" s="42" t="s">
        <v>55</v>
      </c>
      <c r="C72" s="47" t="s">
        <v>8</v>
      </c>
      <c r="D72" s="44">
        <f>D70</f>
        <v>12500</v>
      </c>
    </row>
    <row r="73" spans="2:4" ht="12.75">
      <c r="B73" s="34"/>
      <c r="C73" s="48" t="s">
        <v>105</v>
      </c>
      <c r="D73" s="49">
        <f>D72+D58</f>
        <v>27500</v>
      </c>
    </row>
    <row r="74" spans="2:4" ht="12.75">
      <c r="B74" s="34" t="s">
        <v>56</v>
      </c>
      <c r="C74" s="40" t="s">
        <v>4</v>
      </c>
      <c r="D74" s="26">
        <f>ROUND(IF(D73&gt;0,0.19*D72,0),0)</f>
        <v>2375</v>
      </c>
    </row>
    <row r="75" spans="2:4" ht="12.75">
      <c r="B75" s="45" t="s">
        <v>57</v>
      </c>
      <c r="C75" s="50" t="s">
        <v>9</v>
      </c>
      <c r="D75" s="46">
        <f>D72-D74</f>
        <v>10125</v>
      </c>
    </row>
    <row r="76" ht="12.75">
      <c r="B76" s="8"/>
    </row>
    <row r="77" ht="12.75">
      <c r="B77" s="8"/>
    </row>
    <row r="78" ht="12.75">
      <c r="B78" s="8"/>
    </row>
    <row r="79" ht="15.75">
      <c r="B79" s="15" t="s">
        <v>90</v>
      </c>
    </row>
    <row r="80" ht="12.75">
      <c r="B80" s="2"/>
    </row>
    <row r="81" spans="2:4" ht="12.75">
      <c r="B81" s="21"/>
      <c r="C81" s="22"/>
      <c r="D81" s="33" t="s">
        <v>5</v>
      </c>
    </row>
    <row r="82" spans="2:4" ht="12.75">
      <c r="B82" s="42" t="s">
        <v>39</v>
      </c>
      <c r="C82" s="47" t="s">
        <v>177</v>
      </c>
      <c r="D82" s="44">
        <f>SUM(D84,D87,D90,D93)</f>
        <v>250000</v>
      </c>
    </row>
    <row r="83" spans="2:4" ht="12.75">
      <c r="B83" s="34"/>
      <c r="C83" s="52" t="s">
        <v>27</v>
      </c>
      <c r="D83" s="53"/>
    </row>
    <row r="84" spans="2:4" ht="12.75">
      <c r="B84" s="34"/>
      <c r="C84" s="54" t="s">
        <v>24</v>
      </c>
      <c r="D84" s="26">
        <v>50000</v>
      </c>
    </row>
    <row r="85" spans="2:4" ht="12.75">
      <c r="B85" s="34"/>
      <c r="C85" s="54" t="s">
        <v>176</v>
      </c>
      <c r="D85" s="26">
        <v>50000</v>
      </c>
    </row>
    <row r="86" spans="2:4" ht="12.75">
      <c r="B86" s="34"/>
      <c r="C86" s="52" t="s">
        <v>26</v>
      </c>
      <c r="D86" s="53"/>
    </row>
    <row r="87" spans="2:4" ht="12.75">
      <c r="B87" s="34"/>
      <c r="C87" s="54" t="s">
        <v>24</v>
      </c>
      <c r="D87" s="26">
        <v>50000</v>
      </c>
    </row>
    <row r="88" spans="2:4" ht="12.75">
      <c r="B88" s="34"/>
      <c r="C88" s="54" t="s">
        <v>176</v>
      </c>
      <c r="D88" s="26">
        <v>30000</v>
      </c>
    </row>
    <row r="89" spans="2:4" ht="12.75">
      <c r="B89" s="34"/>
      <c r="C89" s="52" t="s">
        <v>28</v>
      </c>
      <c r="D89" s="55"/>
    </row>
    <row r="90" spans="2:4" ht="12.75">
      <c r="B90" s="34"/>
      <c r="C90" s="54" t="s">
        <v>25</v>
      </c>
      <c r="D90" s="26">
        <v>100000</v>
      </c>
    </row>
    <row r="91" spans="2:4" ht="12.75">
      <c r="B91" s="34"/>
      <c r="C91" s="54" t="s">
        <v>176</v>
      </c>
      <c r="D91" s="26">
        <v>100000</v>
      </c>
    </row>
    <row r="92" spans="2:4" ht="12.75">
      <c r="B92" s="34"/>
      <c r="C92" s="52" t="s">
        <v>29</v>
      </c>
      <c r="D92" s="26"/>
    </row>
    <row r="93" spans="2:4" ht="12.75">
      <c r="B93" s="34"/>
      <c r="C93" s="54" t="s">
        <v>25</v>
      </c>
      <c r="D93" s="26">
        <v>50000</v>
      </c>
    </row>
    <row r="94" spans="2:4" ht="12.75">
      <c r="B94" s="34"/>
      <c r="C94" s="54" t="s">
        <v>176</v>
      </c>
      <c r="D94" s="26">
        <v>40000</v>
      </c>
    </row>
    <row r="95" spans="2:4" ht="12.75">
      <c r="B95" s="34"/>
      <c r="C95" s="56"/>
      <c r="D95" s="26"/>
    </row>
    <row r="96" spans="2:4" ht="12.75">
      <c r="B96" s="42" t="s">
        <v>40</v>
      </c>
      <c r="C96" s="47" t="s">
        <v>10</v>
      </c>
      <c r="D96" s="44">
        <v>50000</v>
      </c>
    </row>
    <row r="97" spans="2:4" ht="12.75">
      <c r="B97" s="34"/>
      <c r="C97" s="56"/>
      <c r="D97" s="26"/>
    </row>
    <row r="98" spans="2:4" ht="12.75">
      <c r="B98" s="42" t="s">
        <v>41</v>
      </c>
      <c r="C98" s="47" t="s">
        <v>38</v>
      </c>
      <c r="D98" s="57"/>
    </row>
    <row r="99" spans="2:4" ht="12.75">
      <c r="B99" s="34"/>
      <c r="C99" s="38" t="s">
        <v>31</v>
      </c>
      <c r="D99" s="26">
        <v>0</v>
      </c>
    </row>
    <row r="100" spans="2:4" ht="12.75">
      <c r="B100" s="34"/>
      <c r="C100" s="38" t="s">
        <v>30</v>
      </c>
      <c r="D100" s="26">
        <v>20000</v>
      </c>
    </row>
    <row r="101" spans="2:4" ht="12.75">
      <c r="B101" s="34"/>
      <c r="C101" s="17"/>
      <c r="D101" s="53"/>
    </row>
    <row r="102" spans="2:4" ht="12.75">
      <c r="B102" s="42" t="s">
        <v>42</v>
      </c>
      <c r="C102" s="47" t="s">
        <v>23</v>
      </c>
      <c r="D102" s="57"/>
    </row>
    <row r="103" spans="2:4" ht="12.75">
      <c r="B103" s="34"/>
      <c r="C103" s="38" t="s">
        <v>31</v>
      </c>
      <c r="D103" s="26">
        <v>1</v>
      </c>
    </row>
    <row r="104" spans="2:4" ht="12.75">
      <c r="B104" s="34"/>
      <c r="C104" s="38" t="s">
        <v>32</v>
      </c>
      <c r="D104" s="26">
        <v>50000</v>
      </c>
    </row>
    <row r="105" spans="2:4" ht="12.75">
      <c r="B105" s="34"/>
      <c r="C105" s="17"/>
      <c r="D105" s="26"/>
    </row>
    <row r="106" spans="2:4" ht="12.75">
      <c r="B106" s="42" t="s">
        <v>43</v>
      </c>
      <c r="C106" s="47" t="s">
        <v>60</v>
      </c>
      <c r="D106" s="57"/>
    </row>
    <row r="107" spans="2:4" ht="12.75">
      <c r="B107" s="34"/>
      <c r="C107" s="38" t="s">
        <v>44</v>
      </c>
      <c r="D107" s="26">
        <f>D67</f>
        <v>8000</v>
      </c>
    </row>
    <row r="108" spans="2:4" ht="12.75">
      <c r="B108" s="34"/>
      <c r="C108" s="38" t="s">
        <v>45</v>
      </c>
      <c r="D108" s="26">
        <v>10000</v>
      </c>
    </row>
    <row r="109" spans="2:4" ht="12.75">
      <c r="B109" s="34"/>
      <c r="C109" s="17"/>
      <c r="D109" s="26"/>
    </row>
    <row r="110" spans="2:4" ht="12.75">
      <c r="B110" s="42" t="s">
        <v>58</v>
      </c>
      <c r="C110" s="47" t="s">
        <v>59</v>
      </c>
      <c r="D110" s="44">
        <f>D58</f>
        <v>15000</v>
      </c>
    </row>
    <row r="111" spans="2:4" ht="12.75">
      <c r="B111" s="34"/>
      <c r="C111" s="17"/>
      <c r="D111" s="26"/>
    </row>
    <row r="112" spans="2:4" ht="12.75">
      <c r="B112" s="42" t="s">
        <v>61</v>
      </c>
      <c r="C112" s="47" t="s">
        <v>68</v>
      </c>
      <c r="D112" s="44">
        <f>SUM(D116,D113:D114)</f>
        <v>5000</v>
      </c>
    </row>
    <row r="113" spans="2:4" ht="12.75">
      <c r="B113" s="34"/>
      <c r="C113" s="38" t="s">
        <v>63</v>
      </c>
      <c r="D113" s="26">
        <v>1900</v>
      </c>
    </row>
    <row r="114" spans="2:4" ht="12.75">
      <c r="B114" s="34"/>
      <c r="C114" s="38" t="s">
        <v>132</v>
      </c>
      <c r="D114" s="26">
        <v>1100</v>
      </c>
    </row>
    <row r="115" spans="2:4" ht="12.75">
      <c r="B115" s="34"/>
      <c r="C115" s="56" t="s">
        <v>131</v>
      </c>
      <c r="D115" s="26">
        <v>100</v>
      </c>
    </row>
    <row r="116" spans="2:4" ht="12.75">
      <c r="B116" s="34"/>
      <c r="C116" s="38" t="s">
        <v>62</v>
      </c>
      <c r="D116" s="26">
        <f>D69</f>
        <v>2000</v>
      </c>
    </row>
    <row r="117" spans="2:4" ht="12.75">
      <c r="B117" s="29"/>
      <c r="C117" s="17"/>
      <c r="D117" s="26"/>
    </row>
    <row r="118" spans="2:4" ht="25.5">
      <c r="B118" s="84" t="s">
        <v>61</v>
      </c>
      <c r="C118" s="83" t="s">
        <v>147</v>
      </c>
      <c r="D118" s="44"/>
    </row>
    <row r="119" spans="2:4" ht="12.75">
      <c r="B119" s="34"/>
      <c r="C119" s="38" t="s">
        <v>150</v>
      </c>
      <c r="D119" s="26">
        <f>D100+D104+D108-D107-D103</f>
        <v>71999</v>
      </c>
    </row>
    <row r="120" spans="2:4" ht="12.75">
      <c r="B120" s="58"/>
      <c r="C120" s="59" t="s">
        <v>151</v>
      </c>
      <c r="D120" s="60">
        <f>ROUND(0.19*D119,0)</f>
        <v>13680</v>
      </c>
    </row>
    <row r="121" ht="12.75">
      <c r="B121" s="4" t="s">
        <v>173</v>
      </c>
    </row>
    <row r="122" ht="12.75"/>
    <row r="123" ht="15.75">
      <c r="B123" s="15" t="s">
        <v>65</v>
      </c>
    </row>
    <row r="124" ht="12.75">
      <c r="B124" s="2"/>
    </row>
    <row r="125" spans="2:4" ht="12.75">
      <c r="B125" s="21"/>
      <c r="C125" s="22"/>
      <c r="D125" s="33" t="s">
        <v>5</v>
      </c>
    </row>
    <row r="126" spans="2:4" ht="12.75">
      <c r="B126" s="61" t="s">
        <v>39</v>
      </c>
      <c r="C126" s="47" t="s">
        <v>66</v>
      </c>
      <c r="D126" s="44">
        <f>SUM(D127:D130)</f>
        <v>95000</v>
      </c>
    </row>
    <row r="127" spans="2:4" ht="12.75">
      <c r="B127" s="29"/>
      <c r="C127" s="62" t="s">
        <v>70</v>
      </c>
      <c r="D127" s="26">
        <f>D56</f>
        <v>100000</v>
      </c>
    </row>
    <row r="128" spans="2:4" ht="12.75">
      <c r="B128" s="29"/>
      <c r="C128" s="62" t="s">
        <v>71</v>
      </c>
      <c r="D128" s="26">
        <f>D66</f>
        <v>15000</v>
      </c>
    </row>
    <row r="129" spans="2:4" ht="12.75">
      <c r="B129" s="29"/>
      <c r="C129" s="63" t="s">
        <v>72</v>
      </c>
      <c r="D129" s="26">
        <f>-D58</f>
        <v>-15000</v>
      </c>
    </row>
    <row r="130" spans="2:4" ht="12.75">
      <c r="B130" s="29"/>
      <c r="C130" s="62" t="s">
        <v>77</v>
      </c>
      <c r="D130" s="26">
        <f>-D112</f>
        <v>-5000</v>
      </c>
    </row>
    <row r="131" spans="2:4" ht="12.75">
      <c r="B131" s="29"/>
      <c r="C131" s="17"/>
      <c r="D131" s="26"/>
    </row>
    <row r="132" spans="2:4" ht="12.75">
      <c r="B132" s="61" t="s">
        <v>40</v>
      </c>
      <c r="C132" s="47" t="s">
        <v>69</v>
      </c>
      <c r="D132" s="44">
        <f>SUM(D133:D138)</f>
        <v>-51000</v>
      </c>
    </row>
    <row r="133" spans="2:4" ht="12.75">
      <c r="B133" s="29"/>
      <c r="C133" s="62" t="s">
        <v>73</v>
      </c>
      <c r="D133" s="26">
        <f>-D49</f>
        <v>-30000</v>
      </c>
    </row>
    <row r="134" spans="2:4" ht="12.75">
      <c r="B134" s="29"/>
      <c r="C134" s="62" t="s">
        <v>74</v>
      </c>
      <c r="D134" s="26">
        <f>-D50</f>
        <v>-4000</v>
      </c>
    </row>
    <row r="135" spans="2:4" ht="12.75">
      <c r="B135" s="29"/>
      <c r="C135" s="62" t="s">
        <v>75</v>
      </c>
      <c r="D135" s="26">
        <f>-D51</f>
        <v>-1000</v>
      </c>
    </row>
    <row r="136" spans="2:4" ht="12.75">
      <c r="B136" s="29"/>
      <c r="C136" s="62" t="s">
        <v>76</v>
      </c>
      <c r="D136" s="26">
        <f>-D52</f>
        <v>-10000</v>
      </c>
    </row>
    <row r="137" spans="2:4" ht="25.5">
      <c r="B137" s="29"/>
      <c r="C137" s="63" t="s">
        <v>94</v>
      </c>
      <c r="D137" s="26">
        <f>-D53</f>
        <v>-5000</v>
      </c>
    </row>
    <row r="138" spans="2:4" ht="12.75">
      <c r="B138" s="29"/>
      <c r="C138" s="17" t="s">
        <v>93</v>
      </c>
      <c r="D138" s="26">
        <f>-D65</f>
        <v>-1000</v>
      </c>
    </row>
    <row r="139" spans="2:4" ht="12.75">
      <c r="B139" s="29"/>
      <c r="C139" s="17"/>
      <c r="D139" s="26"/>
    </row>
    <row r="140" spans="2:4" ht="12.75">
      <c r="B140" s="61" t="s">
        <v>41</v>
      </c>
      <c r="C140" s="47" t="s">
        <v>78</v>
      </c>
      <c r="D140" s="44">
        <f>SUM(D141)</f>
        <v>-165679</v>
      </c>
    </row>
    <row r="141" spans="2:4" ht="12.75">
      <c r="B141" s="29"/>
      <c r="C141" s="64" t="s">
        <v>88</v>
      </c>
      <c r="D141" s="36">
        <f>SUM(D142,D147:D151)</f>
        <v>-165679</v>
      </c>
    </row>
    <row r="142" spans="2:14" s="1" customFormat="1" ht="12.75">
      <c r="B142" s="29"/>
      <c r="C142" s="65" t="s">
        <v>83</v>
      </c>
      <c r="D142" s="36">
        <f>SUM(D143:D146)</f>
        <v>-30000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4" ht="12.75">
      <c r="B143" s="29"/>
      <c r="C143" s="66" t="s">
        <v>84</v>
      </c>
      <c r="D143" s="26">
        <f>D85-D84</f>
        <v>0</v>
      </c>
    </row>
    <row r="144" spans="2:4" ht="12.75">
      <c r="B144" s="29"/>
      <c r="C144" s="66" t="s">
        <v>85</v>
      </c>
      <c r="D144" s="26">
        <f>D88-D87</f>
        <v>-20000</v>
      </c>
    </row>
    <row r="145" spans="2:4" ht="12.75">
      <c r="B145" s="29"/>
      <c r="C145" s="66" t="s">
        <v>86</v>
      </c>
      <c r="D145" s="26">
        <f>D91-D90</f>
        <v>0</v>
      </c>
    </row>
    <row r="146" spans="2:4" ht="12.75">
      <c r="B146" s="29"/>
      <c r="C146" s="66" t="s">
        <v>87</v>
      </c>
      <c r="D146" s="26">
        <f>D94-D93</f>
        <v>-10000</v>
      </c>
    </row>
    <row r="147" spans="2:14" s="1" customFormat="1" ht="12.75">
      <c r="B147" s="29"/>
      <c r="C147" s="67" t="s">
        <v>79</v>
      </c>
      <c r="D147" s="36">
        <f>-D96</f>
        <v>-50000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s="1" customFormat="1" ht="12.75">
      <c r="B148" s="29"/>
      <c r="C148" s="67" t="s">
        <v>80</v>
      </c>
      <c r="D148" s="36">
        <f>-(D100-D99)</f>
        <v>-20000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s="1" customFormat="1" ht="12.75">
      <c r="B149" s="29"/>
      <c r="C149" s="67" t="s">
        <v>81</v>
      </c>
      <c r="D149" s="36">
        <f>-(D104-D103)</f>
        <v>-49999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s="1" customFormat="1" ht="12.75">
      <c r="B150" s="29"/>
      <c r="C150" s="67" t="s">
        <v>82</v>
      </c>
      <c r="D150" s="36">
        <f>-(D108-D107)</f>
        <v>-2000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4" ht="12.75">
      <c r="B151" s="29"/>
      <c r="C151" s="67" t="s">
        <v>152</v>
      </c>
      <c r="D151" s="36">
        <f>-D120</f>
        <v>-13680</v>
      </c>
    </row>
    <row r="152" spans="2:4" ht="12.75">
      <c r="B152" s="29"/>
      <c r="C152" s="38"/>
      <c r="D152" s="26"/>
    </row>
    <row r="153" spans="2:4" ht="12.75">
      <c r="B153" s="61" t="s">
        <v>42</v>
      </c>
      <c r="C153" s="47" t="s">
        <v>89</v>
      </c>
      <c r="D153" s="44">
        <v>200000</v>
      </c>
    </row>
    <row r="154" spans="2:4" ht="12.75">
      <c r="B154" s="29"/>
      <c r="C154" s="17"/>
      <c r="D154" s="26"/>
    </row>
    <row r="155" spans="2:14" s="9" customFormat="1" ht="18.75" customHeight="1">
      <c r="B155" s="11" t="s">
        <v>43</v>
      </c>
      <c r="C155" s="12" t="s">
        <v>109</v>
      </c>
      <c r="D155" s="13">
        <f>D126+D132+D140+D153</f>
        <v>78321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2:4" ht="12.75">
      <c r="B156" s="29"/>
      <c r="C156" s="17"/>
      <c r="D156" s="26"/>
    </row>
    <row r="157" spans="2:4" ht="12.75">
      <c r="B157" s="61" t="s">
        <v>58</v>
      </c>
      <c r="C157" s="47" t="s">
        <v>108</v>
      </c>
      <c r="D157" s="44">
        <f>D54</f>
        <v>75000</v>
      </c>
    </row>
    <row r="158" spans="2:4" ht="12.75">
      <c r="B158" s="29"/>
      <c r="C158" s="17"/>
      <c r="D158" s="26"/>
    </row>
    <row r="159" spans="2:4" ht="12.75">
      <c r="B159" s="61" t="s">
        <v>61</v>
      </c>
      <c r="C159" s="47" t="s">
        <v>142</v>
      </c>
      <c r="D159" s="44">
        <f>D157-D155</f>
        <v>-3321</v>
      </c>
    </row>
    <row r="160" spans="2:4" ht="12.75">
      <c r="B160" s="29"/>
      <c r="C160" s="17"/>
      <c r="D160" s="26"/>
    </row>
    <row r="161" spans="2:4" ht="15">
      <c r="B161" s="11"/>
      <c r="C161" s="12"/>
      <c r="D161" s="20" t="str">
        <f>IF(D159&lt;=0,"Wniosek: Rekompensata nie jest nadmierna","Wniosek: Rekompensata jest nadmierna")</f>
        <v>Wniosek: Rekompensata nie jest nadmierna</v>
      </c>
    </row>
    <row r="162" ht="12.75"/>
    <row r="163" ht="12.75"/>
    <row r="164" ht="12.75"/>
    <row r="165" ht="12.75"/>
    <row r="166" ht="15.75">
      <c r="B166" s="15" t="s">
        <v>106</v>
      </c>
    </row>
    <row r="167" ht="12.75"/>
    <row r="168" ht="12.75">
      <c r="B168" s="4" t="s">
        <v>179</v>
      </c>
    </row>
    <row r="169" spans="2:13" ht="5.25" customHeight="1">
      <c r="B169" s="2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2:13" ht="12.75">
      <c r="B170" s="21"/>
      <c r="C170" s="22"/>
      <c r="D170" s="68" t="s">
        <v>5</v>
      </c>
      <c r="E170" s="69" t="s">
        <v>114</v>
      </c>
      <c r="F170" s="69" t="s">
        <v>115</v>
      </c>
      <c r="G170" s="69" t="s">
        <v>116</v>
      </c>
      <c r="H170" s="69" t="s">
        <v>117</v>
      </c>
      <c r="I170" s="69" t="s">
        <v>118</v>
      </c>
      <c r="J170" s="69" t="s">
        <v>119</v>
      </c>
      <c r="K170" s="69" t="s">
        <v>120</v>
      </c>
      <c r="L170" s="69" t="s">
        <v>121</v>
      </c>
      <c r="M170" s="70" t="s">
        <v>122</v>
      </c>
    </row>
    <row r="171" spans="2:13" ht="12.75">
      <c r="B171" s="29"/>
      <c r="C171" s="17"/>
      <c r="D171" s="18"/>
      <c r="E171" s="18"/>
      <c r="F171" s="18"/>
      <c r="G171" s="18"/>
      <c r="H171" s="18"/>
      <c r="I171" s="18"/>
      <c r="J171" s="18"/>
      <c r="K171" s="18"/>
      <c r="L171" s="18"/>
      <c r="M171" s="26"/>
    </row>
    <row r="172" spans="2:13" ht="12.75">
      <c r="B172" s="61" t="s">
        <v>39</v>
      </c>
      <c r="C172" s="47" t="s">
        <v>153</v>
      </c>
      <c r="D172" s="71">
        <f>SUM(D173:D175)</f>
        <v>-2300000</v>
      </c>
      <c r="E172" s="72"/>
      <c r="F172" s="72"/>
      <c r="G172" s="72"/>
      <c r="H172" s="72"/>
      <c r="I172" s="72"/>
      <c r="J172" s="72"/>
      <c r="K172" s="72"/>
      <c r="L172" s="72"/>
      <c r="M172" s="57"/>
    </row>
    <row r="173" spans="2:13" ht="12.75">
      <c r="B173" s="29"/>
      <c r="C173" s="40" t="s">
        <v>127</v>
      </c>
      <c r="D173" s="18">
        <f>-2000000</f>
        <v>-2000000</v>
      </c>
      <c r="E173" s="18"/>
      <c r="F173" s="18"/>
      <c r="G173" s="18"/>
      <c r="H173" s="18"/>
      <c r="I173" s="18"/>
      <c r="J173" s="18"/>
      <c r="K173" s="18"/>
      <c r="L173" s="18"/>
      <c r="M173" s="26"/>
    </row>
    <row r="174" spans="2:13" ht="12.75">
      <c r="B174" s="29"/>
      <c r="C174" s="38" t="s">
        <v>124</v>
      </c>
      <c r="D174" s="18">
        <f>-D20</f>
        <v>-250000</v>
      </c>
      <c r="E174" s="18"/>
      <c r="F174" s="18"/>
      <c r="G174" s="18"/>
      <c r="H174" s="18"/>
      <c r="I174" s="18"/>
      <c r="J174" s="18"/>
      <c r="K174" s="18"/>
      <c r="L174" s="18"/>
      <c r="M174" s="26"/>
    </row>
    <row r="175" spans="2:13" ht="12.75">
      <c r="B175" s="29"/>
      <c r="C175" s="38" t="s">
        <v>126</v>
      </c>
      <c r="D175" s="18">
        <f>-D19</f>
        <v>-50000</v>
      </c>
      <c r="E175" s="18"/>
      <c r="F175" s="18"/>
      <c r="G175" s="18"/>
      <c r="H175" s="18"/>
      <c r="I175" s="18"/>
      <c r="J175" s="18"/>
      <c r="K175" s="18"/>
      <c r="L175" s="18"/>
      <c r="M175" s="26"/>
    </row>
    <row r="176" spans="2:13" ht="12.75">
      <c r="B176" s="29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26"/>
    </row>
    <row r="177" spans="2:13" ht="12.75">
      <c r="B177" s="61" t="s">
        <v>40</v>
      </c>
      <c r="C177" s="73" t="s">
        <v>111</v>
      </c>
      <c r="D177" s="71">
        <f>SUM(D178:D180)</f>
        <v>1025000</v>
      </c>
      <c r="E177" s="71">
        <f aca="true" t="shared" si="0" ref="E177:M177">SUM(E178:E180)</f>
        <v>125000</v>
      </c>
      <c r="F177" s="71">
        <f t="shared" si="0"/>
        <v>125000</v>
      </c>
      <c r="G177" s="71">
        <f t="shared" si="0"/>
        <v>125000</v>
      </c>
      <c r="H177" s="71">
        <f t="shared" si="0"/>
        <v>125000</v>
      </c>
      <c r="I177" s="71">
        <f t="shared" si="0"/>
        <v>125000</v>
      </c>
      <c r="J177" s="71">
        <f t="shared" si="0"/>
        <v>125000</v>
      </c>
      <c r="K177" s="71">
        <f t="shared" si="0"/>
        <v>125000</v>
      </c>
      <c r="L177" s="71">
        <f t="shared" si="0"/>
        <v>125000</v>
      </c>
      <c r="M177" s="44">
        <f t="shared" si="0"/>
        <v>125000</v>
      </c>
    </row>
    <row r="178" spans="2:13" ht="12.75">
      <c r="B178" s="29"/>
      <c r="C178" s="38" t="s">
        <v>2</v>
      </c>
      <c r="D178" s="18">
        <f>D48</f>
        <v>125000</v>
      </c>
      <c r="E178" s="18">
        <f>D178</f>
        <v>125000</v>
      </c>
      <c r="F178" s="18">
        <f>E178</f>
        <v>125000</v>
      </c>
      <c r="G178" s="18">
        <f aca="true" t="shared" si="1" ref="G178:M178">F178</f>
        <v>125000</v>
      </c>
      <c r="H178" s="18">
        <f t="shared" si="1"/>
        <v>125000</v>
      </c>
      <c r="I178" s="18">
        <f t="shared" si="1"/>
        <v>125000</v>
      </c>
      <c r="J178" s="18">
        <f t="shared" si="1"/>
        <v>125000</v>
      </c>
      <c r="K178" s="18">
        <f t="shared" si="1"/>
        <v>125000</v>
      </c>
      <c r="L178" s="18">
        <f t="shared" si="1"/>
        <v>125000</v>
      </c>
      <c r="M178" s="26">
        <f t="shared" si="1"/>
        <v>125000</v>
      </c>
    </row>
    <row r="179" spans="2:13" ht="12.75">
      <c r="B179" s="29"/>
      <c r="C179" s="38" t="s">
        <v>123</v>
      </c>
      <c r="D179" s="18">
        <f>D38+D40</f>
        <v>400000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6">
        <v>0</v>
      </c>
    </row>
    <row r="180" spans="2:13" ht="12.75">
      <c r="B180" s="29"/>
      <c r="C180" s="38" t="s">
        <v>125</v>
      </c>
      <c r="D180" s="18">
        <f>D36</f>
        <v>500000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26">
        <v>0</v>
      </c>
    </row>
    <row r="181" spans="2:13" ht="12.75">
      <c r="B181" s="29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26"/>
    </row>
    <row r="182" spans="2:13" ht="12.75">
      <c r="B182" s="61" t="s">
        <v>41</v>
      </c>
      <c r="C182" s="47" t="s">
        <v>112</v>
      </c>
      <c r="D182" s="71">
        <f>SUM(D183:D186)</f>
        <v>-1015000</v>
      </c>
      <c r="E182" s="71">
        <f aca="true" t="shared" si="2" ref="E182:M182">SUM(E183:E186)</f>
        <v>-118000</v>
      </c>
      <c r="F182" s="71">
        <f t="shared" si="2"/>
        <v>-118000</v>
      </c>
      <c r="G182" s="71">
        <f t="shared" si="2"/>
        <v>-118000</v>
      </c>
      <c r="H182" s="71">
        <f t="shared" si="2"/>
        <v>-118000</v>
      </c>
      <c r="I182" s="71">
        <f t="shared" si="2"/>
        <v>-118000</v>
      </c>
      <c r="J182" s="71">
        <f t="shared" si="2"/>
        <v>-118000</v>
      </c>
      <c r="K182" s="71">
        <f t="shared" si="2"/>
        <v>-118000</v>
      </c>
      <c r="L182" s="71">
        <f t="shared" si="2"/>
        <v>-118000</v>
      </c>
      <c r="M182" s="44">
        <f t="shared" si="2"/>
        <v>-118000</v>
      </c>
    </row>
    <row r="183" spans="2:13" ht="12.75">
      <c r="B183" s="29"/>
      <c r="C183" s="38" t="s">
        <v>129</v>
      </c>
      <c r="D183" s="18">
        <f>-(D56-D57-D113-D114)</f>
        <v>-72000</v>
      </c>
      <c r="E183" s="18">
        <v>-75000</v>
      </c>
      <c r="F183" s="18">
        <v>-75000</v>
      </c>
      <c r="G183" s="18">
        <v>-75000</v>
      </c>
      <c r="H183" s="18">
        <v>-75000</v>
      </c>
      <c r="I183" s="18">
        <v>-75000</v>
      </c>
      <c r="J183" s="18">
        <v>-75000</v>
      </c>
      <c r="K183" s="18">
        <v>-75000</v>
      </c>
      <c r="L183" s="18">
        <v>-75000</v>
      </c>
      <c r="M183" s="26">
        <v>-75000</v>
      </c>
    </row>
    <row r="184" spans="2:13" ht="12.75">
      <c r="B184" s="29"/>
      <c r="C184" s="38" t="s">
        <v>3</v>
      </c>
      <c r="D184" s="18">
        <f>-(D67+D68)</f>
        <v>-13000</v>
      </c>
      <c r="E184" s="18">
        <f>D184</f>
        <v>-13000</v>
      </c>
      <c r="F184" s="18">
        <f aca="true" t="shared" si="3" ref="F184:M185">E184</f>
        <v>-13000</v>
      </c>
      <c r="G184" s="18">
        <f t="shared" si="3"/>
        <v>-13000</v>
      </c>
      <c r="H184" s="18">
        <f t="shared" si="3"/>
        <v>-13000</v>
      </c>
      <c r="I184" s="18">
        <f t="shared" si="3"/>
        <v>-13000</v>
      </c>
      <c r="J184" s="18">
        <f t="shared" si="3"/>
        <v>-13000</v>
      </c>
      <c r="K184" s="18">
        <f t="shared" si="3"/>
        <v>-13000</v>
      </c>
      <c r="L184" s="18">
        <f t="shared" si="3"/>
        <v>-13000</v>
      </c>
      <c r="M184" s="26">
        <f t="shared" si="3"/>
        <v>-13000</v>
      </c>
    </row>
    <row r="185" spans="2:13" ht="12.75">
      <c r="B185" s="29"/>
      <c r="C185" s="38" t="s">
        <v>133</v>
      </c>
      <c r="D185" s="18">
        <f>-D38/10</f>
        <v>-30000</v>
      </c>
      <c r="E185" s="18">
        <f>D185</f>
        <v>-30000</v>
      </c>
      <c r="F185" s="18">
        <f t="shared" si="3"/>
        <v>-30000</v>
      </c>
      <c r="G185" s="18">
        <f t="shared" si="3"/>
        <v>-30000</v>
      </c>
      <c r="H185" s="18">
        <f t="shared" si="3"/>
        <v>-30000</v>
      </c>
      <c r="I185" s="18">
        <f t="shared" si="3"/>
        <v>-30000</v>
      </c>
      <c r="J185" s="18">
        <f t="shared" si="3"/>
        <v>-30000</v>
      </c>
      <c r="K185" s="18">
        <f t="shared" si="3"/>
        <v>-30000</v>
      </c>
      <c r="L185" s="18">
        <f t="shared" si="3"/>
        <v>-30000</v>
      </c>
      <c r="M185" s="26">
        <f t="shared" si="3"/>
        <v>-30000</v>
      </c>
    </row>
    <row r="186" spans="2:13" ht="12.75">
      <c r="B186" s="29"/>
      <c r="C186" s="38" t="s">
        <v>134</v>
      </c>
      <c r="D186" s="18">
        <f>-D179-D180</f>
        <v>-900000</v>
      </c>
      <c r="E186" s="18"/>
      <c r="F186" s="18"/>
      <c r="G186" s="18"/>
      <c r="H186" s="18"/>
      <c r="I186" s="18"/>
      <c r="J186" s="18"/>
      <c r="K186" s="18"/>
      <c r="L186" s="18"/>
      <c r="M186" s="26"/>
    </row>
    <row r="187" spans="2:13" ht="12.75">
      <c r="B187" s="29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26"/>
    </row>
    <row r="188" spans="2:13" ht="12.75">
      <c r="B188" s="74" t="s">
        <v>42</v>
      </c>
      <c r="C188" s="50" t="s">
        <v>141</v>
      </c>
      <c r="D188" s="75">
        <f>D172+D177+D182</f>
        <v>-2290000</v>
      </c>
      <c r="E188" s="75">
        <f aca="true" t="shared" si="4" ref="E188:M188">E172+E177+E182</f>
        <v>7000</v>
      </c>
      <c r="F188" s="75">
        <f t="shared" si="4"/>
        <v>7000</v>
      </c>
      <c r="G188" s="75">
        <f t="shared" si="4"/>
        <v>7000</v>
      </c>
      <c r="H188" s="75">
        <f t="shared" si="4"/>
        <v>7000</v>
      </c>
      <c r="I188" s="75">
        <f t="shared" si="4"/>
        <v>7000</v>
      </c>
      <c r="J188" s="75">
        <f t="shared" si="4"/>
        <v>7000</v>
      </c>
      <c r="K188" s="75">
        <f t="shared" si="4"/>
        <v>7000</v>
      </c>
      <c r="L188" s="75">
        <f t="shared" si="4"/>
        <v>7000</v>
      </c>
      <c r="M188" s="46">
        <f t="shared" si="4"/>
        <v>7000</v>
      </c>
    </row>
    <row r="189" ht="12.75"/>
    <row r="190" spans="2:4" ht="15">
      <c r="B190" s="11" t="s">
        <v>43</v>
      </c>
      <c r="C190" s="12" t="s">
        <v>140</v>
      </c>
      <c r="D190" s="19">
        <f>IRR(D188:M188)</f>
        <v>-0.42209317137323343</v>
      </c>
    </row>
    <row r="191" ht="12.75"/>
    <row r="192" spans="2:4" ht="15">
      <c r="B192" s="11"/>
      <c r="C192" s="12"/>
      <c r="D192" s="20" t="str">
        <f>IF(D190&lt;=5.03%,"Wniosek: Rekompensata nie jest nadmierna","Wniosek: Rekompensata jest nadmierna")</f>
        <v>Wniosek: Rekompensata nie jest nadmierna</v>
      </c>
    </row>
    <row r="193" ht="12.75"/>
    <row r="194" ht="12.75"/>
    <row r="195" ht="12.75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</sheetData>
  <sheetProtection/>
  <printOptions/>
  <pageMargins left="0.3937007874015748" right="0.1968503937007874" top="0.7480314960629921" bottom="0.7480314960629921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0:N188"/>
  <sheetViews>
    <sheetView showGridLines="0" view="pageBreakPreview" zoomScale="85" zoomScaleSheetLayoutView="85" zoomScalePageLayoutView="0" workbookViewId="0" topLeftCell="A10">
      <selection activeCell="A10" sqref="A10:D43"/>
    </sheetView>
  </sheetViews>
  <sheetFormatPr defaultColWidth="0" defaultRowHeight="12.75" customHeight="1" zeroHeight="1"/>
  <cols>
    <col min="1" max="1" width="3.140625" style="2" customWidth="1"/>
    <col min="2" max="2" width="2.421875" style="4" customWidth="1"/>
    <col min="3" max="3" width="93.421875" style="2" customWidth="1"/>
    <col min="4" max="4" width="18.57421875" style="3" customWidth="1"/>
    <col min="5" max="13" width="12.7109375" style="3" customWidth="1"/>
    <col min="14" max="14" width="3.8515625" style="3" customWidth="1"/>
    <col min="15" max="16384" width="9.140625" style="2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2:4" ht="18.75">
      <c r="B10" s="77" t="s">
        <v>156</v>
      </c>
      <c r="C10" s="78"/>
      <c r="D10" s="79"/>
    </row>
    <row r="11" spans="2:4" ht="18.75">
      <c r="B11" s="77" t="s">
        <v>161</v>
      </c>
      <c r="C11" s="78"/>
      <c r="D11" s="79"/>
    </row>
    <row r="12" spans="2:14" ht="15.75">
      <c r="B12" s="15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5.75">
      <c r="B13" s="15" t="s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>
      <c r="B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34.5" customHeight="1">
      <c r="B15" s="21"/>
      <c r="C15" s="22"/>
      <c r="D15" s="124" t="s">
        <v>97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23" t="s">
        <v>39</v>
      </c>
      <c r="C16" s="24" t="s">
        <v>113</v>
      </c>
      <c r="D16" s="26">
        <v>90000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23"/>
      <c r="C17" s="25" t="s">
        <v>110</v>
      </c>
      <c r="D17" s="26">
        <v>200000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5.5">
      <c r="B18" s="85" t="s">
        <v>91</v>
      </c>
      <c r="C18" s="86" t="s">
        <v>159</v>
      </c>
      <c r="D18" s="87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 s="23" t="s">
        <v>92</v>
      </c>
      <c r="C19" s="24" t="s">
        <v>107</v>
      </c>
      <c r="D19" s="26">
        <v>50000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23" t="s">
        <v>162</v>
      </c>
      <c r="C20" s="24" t="s">
        <v>103</v>
      </c>
      <c r="D20" s="51">
        <v>250000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89" t="s">
        <v>101</v>
      </c>
      <c r="C21" s="90" t="s">
        <v>163</v>
      </c>
      <c r="D21" s="87">
        <v>100000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34"/>
      <c r="C22" s="52" t="s">
        <v>27</v>
      </c>
      <c r="D22" s="26"/>
      <c r="N22" s="2"/>
    </row>
    <row r="23" spans="2:14" ht="12.75">
      <c r="B23" s="34"/>
      <c r="C23" s="54" t="s">
        <v>24</v>
      </c>
      <c r="D23" s="26">
        <v>50000</v>
      </c>
      <c r="N23" s="2"/>
    </row>
    <row r="24" spans="2:14" ht="12.75">
      <c r="B24" s="34"/>
      <c r="C24" s="54" t="s">
        <v>175</v>
      </c>
      <c r="D24" s="26">
        <v>50000</v>
      </c>
      <c r="N24" s="2"/>
    </row>
    <row r="25" spans="2:14" ht="12.75">
      <c r="B25" s="34"/>
      <c r="C25" s="52" t="s">
        <v>26</v>
      </c>
      <c r="D25" s="26"/>
      <c r="N25" s="2"/>
    </row>
    <row r="26" spans="2:14" ht="12.75">
      <c r="B26" s="34"/>
      <c r="C26" s="54" t="s">
        <v>24</v>
      </c>
      <c r="D26" s="26">
        <v>50000</v>
      </c>
      <c r="N26" s="2"/>
    </row>
    <row r="27" spans="2:14" ht="12.75">
      <c r="B27" s="34"/>
      <c r="C27" s="54" t="s">
        <v>174</v>
      </c>
      <c r="D27" s="26">
        <v>30000</v>
      </c>
      <c r="N27" s="2"/>
    </row>
    <row r="28" spans="2:14" ht="12.75">
      <c r="B28" s="89" t="s">
        <v>102</v>
      </c>
      <c r="C28" s="90" t="s">
        <v>143</v>
      </c>
      <c r="D28" s="87">
        <v>150000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34"/>
      <c r="C29" s="52" t="s">
        <v>154</v>
      </c>
      <c r="D29" s="26"/>
      <c r="N29" s="2"/>
    </row>
    <row r="30" spans="2:14" ht="12.75">
      <c r="B30" s="34"/>
      <c r="C30" s="54" t="s">
        <v>25</v>
      </c>
      <c r="D30" s="26">
        <v>100000</v>
      </c>
      <c r="N30" s="2"/>
    </row>
    <row r="31" spans="2:14" ht="12.75">
      <c r="B31" s="34"/>
      <c r="C31" s="54" t="s">
        <v>174</v>
      </c>
      <c r="D31" s="26">
        <v>100000</v>
      </c>
      <c r="N31" s="2"/>
    </row>
    <row r="32" spans="2:14" ht="12.75">
      <c r="B32" s="34"/>
      <c r="C32" s="52" t="s">
        <v>155</v>
      </c>
      <c r="D32" s="26"/>
      <c r="N32" s="2"/>
    </row>
    <row r="33" spans="2:14" ht="12.75">
      <c r="B33" s="34"/>
      <c r="C33" s="54" t="s">
        <v>25</v>
      </c>
      <c r="D33" s="26">
        <v>50000</v>
      </c>
      <c r="N33" s="2"/>
    </row>
    <row r="34" spans="2:14" ht="12.75">
      <c r="B34" s="34"/>
      <c r="C34" s="54" t="s">
        <v>174</v>
      </c>
      <c r="D34" s="26">
        <v>40000</v>
      </c>
      <c r="N34" s="2"/>
    </row>
    <row r="35" spans="2:14" ht="12.75">
      <c r="B35" s="85" t="s">
        <v>43</v>
      </c>
      <c r="C35" s="86" t="s">
        <v>160</v>
      </c>
      <c r="D35" s="87">
        <v>1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3" t="s">
        <v>58</v>
      </c>
      <c r="C36" s="27" t="s">
        <v>158</v>
      </c>
      <c r="D36" s="26">
        <v>500000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3"/>
      <c r="C37" s="27" t="s">
        <v>99</v>
      </c>
      <c r="D37" s="26">
        <v>15000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9" t="s">
        <v>61</v>
      </c>
      <c r="C38" s="24" t="s">
        <v>136</v>
      </c>
      <c r="D38" s="26">
        <v>300000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8"/>
      <c r="C39" s="25" t="s">
        <v>100</v>
      </c>
      <c r="D39" s="26">
        <v>8000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30" t="s">
        <v>130</v>
      </c>
      <c r="C40" s="31" t="s">
        <v>137</v>
      </c>
      <c r="D40" s="26">
        <v>100000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8"/>
      <c r="C41" s="25" t="s">
        <v>138</v>
      </c>
      <c r="D41" s="26">
        <v>5000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32" t="s">
        <v>139</v>
      </c>
      <c r="C42" s="76" t="s">
        <v>172</v>
      </c>
      <c r="D42" s="60">
        <v>2000000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4" t="s">
        <v>173</v>
      </c>
      <c r="C43" s="14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2.75">
      <c r="C44" s="14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5.75">
      <c r="B45" s="15" t="s">
        <v>1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1"/>
      <c r="C47" s="22"/>
      <c r="D47" s="33" t="s">
        <v>5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4" ht="12.75">
      <c r="B48" s="34" t="s">
        <v>46</v>
      </c>
      <c r="C48" s="35" t="s">
        <v>15</v>
      </c>
      <c r="D48" s="36">
        <f>SUM(D49:D55)</f>
        <v>211999</v>
      </c>
    </row>
    <row r="49" spans="2:4" ht="12.75">
      <c r="B49" s="37" t="s">
        <v>39</v>
      </c>
      <c r="C49" s="38" t="s">
        <v>12</v>
      </c>
      <c r="D49" s="26">
        <v>30000</v>
      </c>
    </row>
    <row r="50" spans="2:4" ht="12.75">
      <c r="B50" s="37" t="s">
        <v>40</v>
      </c>
      <c r="C50" s="38" t="s">
        <v>13</v>
      </c>
      <c r="D50" s="26">
        <v>4000</v>
      </c>
    </row>
    <row r="51" spans="2:4" ht="12.75">
      <c r="B51" s="37" t="s">
        <v>41</v>
      </c>
      <c r="C51" s="38" t="s">
        <v>14</v>
      </c>
      <c r="D51" s="26">
        <v>1000</v>
      </c>
    </row>
    <row r="52" spans="2:4" ht="12.75">
      <c r="B52" s="37" t="s">
        <v>42</v>
      </c>
      <c r="C52" s="38" t="s">
        <v>11</v>
      </c>
      <c r="D52" s="26">
        <v>10000</v>
      </c>
    </row>
    <row r="53" spans="2:4" ht="12.75">
      <c r="B53" s="37" t="s">
        <v>43</v>
      </c>
      <c r="C53" s="38" t="s">
        <v>67</v>
      </c>
      <c r="D53" s="26">
        <v>5000</v>
      </c>
    </row>
    <row r="54" spans="1:5" ht="12.75">
      <c r="A54" s="17"/>
      <c r="B54" s="37" t="s">
        <v>58</v>
      </c>
      <c r="C54" s="7" t="s">
        <v>22</v>
      </c>
      <c r="D54" s="39">
        <f>D16</f>
        <v>90000</v>
      </c>
      <c r="E54" s="18"/>
    </row>
    <row r="55" spans="2:4" ht="12.75">
      <c r="B55" s="37" t="s">
        <v>61</v>
      </c>
      <c r="C55" s="7" t="s">
        <v>104</v>
      </c>
      <c r="D55" s="39">
        <f>D100+D104-D103+D108-D107</f>
        <v>71999</v>
      </c>
    </row>
    <row r="56" spans="2:4" ht="12.75">
      <c r="B56" s="34" t="s">
        <v>47</v>
      </c>
      <c r="C56" s="35" t="s">
        <v>17</v>
      </c>
      <c r="D56" s="36">
        <v>100000</v>
      </c>
    </row>
    <row r="57" spans="1:4" ht="12.75">
      <c r="A57" s="6"/>
      <c r="B57" s="37" t="s">
        <v>39</v>
      </c>
      <c r="C57" s="40" t="s">
        <v>18</v>
      </c>
      <c r="D57" s="26">
        <v>25000</v>
      </c>
    </row>
    <row r="58" spans="1:4" ht="12.75">
      <c r="A58" s="6"/>
      <c r="B58" s="37" t="s">
        <v>64</v>
      </c>
      <c r="C58" s="125" t="s">
        <v>229</v>
      </c>
      <c r="D58" s="26">
        <v>15000</v>
      </c>
    </row>
    <row r="59" spans="2:4" ht="12.75">
      <c r="B59" s="42" t="s">
        <v>48</v>
      </c>
      <c r="C59" s="43" t="s">
        <v>16</v>
      </c>
      <c r="D59" s="44">
        <f>D48-D56</f>
        <v>111999</v>
      </c>
    </row>
    <row r="60" spans="2:4" ht="12.75">
      <c r="B60" s="34"/>
      <c r="C60" s="17"/>
      <c r="D60" s="26"/>
    </row>
    <row r="61" spans="2:4" ht="12.75">
      <c r="B61" s="34" t="s">
        <v>49</v>
      </c>
      <c r="C61" s="35" t="s">
        <v>20</v>
      </c>
      <c r="D61" s="36">
        <v>10000</v>
      </c>
    </row>
    <row r="62" spans="2:4" ht="12.75">
      <c r="B62" s="34" t="s">
        <v>50</v>
      </c>
      <c r="C62" s="35" t="s">
        <v>21</v>
      </c>
      <c r="D62" s="36">
        <v>8500</v>
      </c>
    </row>
    <row r="63" spans="2:4" ht="12.75">
      <c r="B63" s="42" t="s">
        <v>51</v>
      </c>
      <c r="C63" s="43" t="s">
        <v>6</v>
      </c>
      <c r="D63" s="44">
        <f>D61-D62+D59</f>
        <v>113499</v>
      </c>
    </row>
    <row r="64" spans="2:4" ht="12.75">
      <c r="B64" s="34"/>
      <c r="C64" s="17"/>
      <c r="D64" s="26"/>
    </row>
    <row r="65" spans="2:4" ht="12.75">
      <c r="B65" s="34" t="s">
        <v>52</v>
      </c>
      <c r="C65" s="35" t="s">
        <v>36</v>
      </c>
      <c r="D65" s="36">
        <f>1000</f>
        <v>1000</v>
      </c>
    </row>
    <row r="66" spans="2:4" ht="12.75">
      <c r="B66" s="34" t="s">
        <v>53</v>
      </c>
      <c r="C66" s="35" t="s">
        <v>33</v>
      </c>
      <c r="D66" s="36">
        <f>SUM(D67:D69)</f>
        <v>15000</v>
      </c>
    </row>
    <row r="67" spans="2:4" ht="12.75">
      <c r="B67" s="37" t="s">
        <v>39</v>
      </c>
      <c r="C67" s="40" t="s">
        <v>34</v>
      </c>
      <c r="D67" s="26">
        <v>8000</v>
      </c>
    </row>
    <row r="68" spans="2:4" ht="12.75">
      <c r="B68" s="37" t="s">
        <v>40</v>
      </c>
      <c r="C68" s="40" t="s">
        <v>135</v>
      </c>
      <c r="D68" s="26">
        <v>5000</v>
      </c>
    </row>
    <row r="69" spans="2:4" ht="12.75">
      <c r="B69" s="37" t="s">
        <v>41</v>
      </c>
      <c r="C69" s="40" t="s">
        <v>35</v>
      </c>
      <c r="D69" s="26">
        <v>2000</v>
      </c>
    </row>
    <row r="70" spans="2:4" ht="12.75">
      <c r="B70" s="42" t="s">
        <v>54</v>
      </c>
      <c r="C70" s="43" t="s">
        <v>7</v>
      </c>
      <c r="D70" s="44">
        <f>D65-D66+D63</f>
        <v>99499</v>
      </c>
    </row>
    <row r="71" spans="2:4" ht="12.75">
      <c r="B71" s="34"/>
      <c r="C71" s="17"/>
      <c r="D71" s="26"/>
    </row>
    <row r="72" spans="2:4" ht="12.75">
      <c r="B72" s="42" t="s">
        <v>55</v>
      </c>
      <c r="C72" s="47" t="s">
        <v>8</v>
      </c>
      <c r="D72" s="44">
        <f>D70</f>
        <v>99499</v>
      </c>
    </row>
    <row r="73" spans="2:4" ht="12.75">
      <c r="B73" s="34"/>
      <c r="C73" s="48" t="s">
        <v>105</v>
      </c>
      <c r="D73" s="49">
        <f>D72+D58</f>
        <v>114499</v>
      </c>
    </row>
    <row r="74" spans="2:4" ht="12.75">
      <c r="B74" s="34" t="s">
        <v>56</v>
      </c>
      <c r="C74" s="40" t="s">
        <v>4</v>
      </c>
      <c r="D74" s="26">
        <f>ROUND(IF(D73&gt;0,0.19*D72,0),0)</f>
        <v>18905</v>
      </c>
    </row>
    <row r="75" spans="2:4" ht="12.75">
      <c r="B75" s="45" t="s">
        <v>57</v>
      </c>
      <c r="C75" s="50" t="s">
        <v>9</v>
      </c>
      <c r="D75" s="46">
        <f>D72-D74</f>
        <v>80594</v>
      </c>
    </row>
    <row r="76" ht="12.75">
      <c r="B76" s="8"/>
    </row>
    <row r="77" ht="12.75">
      <c r="B77" s="8"/>
    </row>
    <row r="78" ht="12.75">
      <c r="B78" s="8"/>
    </row>
    <row r="79" ht="15.75">
      <c r="B79" s="15" t="s">
        <v>90</v>
      </c>
    </row>
    <row r="80" ht="12.75">
      <c r="B80" s="2"/>
    </row>
    <row r="81" spans="2:4" ht="12.75">
      <c r="B81" s="21"/>
      <c r="C81" s="22"/>
      <c r="D81" s="33" t="s">
        <v>5</v>
      </c>
    </row>
    <row r="82" spans="2:4" ht="12.75">
      <c r="B82" s="42" t="s">
        <v>39</v>
      </c>
      <c r="C82" s="47" t="s">
        <v>37</v>
      </c>
      <c r="D82" s="44">
        <f>SUM(D84,D87,D90,D93)</f>
        <v>250000</v>
      </c>
    </row>
    <row r="83" spans="2:4" ht="12.75">
      <c r="B83" s="34"/>
      <c r="C83" s="52" t="s">
        <v>27</v>
      </c>
      <c r="D83" s="53"/>
    </row>
    <row r="84" spans="2:4" ht="12.75">
      <c r="B84" s="34"/>
      <c r="C84" s="54" t="s">
        <v>24</v>
      </c>
      <c r="D84" s="26">
        <v>50000</v>
      </c>
    </row>
    <row r="85" spans="2:4" ht="12.75">
      <c r="B85" s="34"/>
      <c r="C85" s="54" t="s">
        <v>176</v>
      </c>
      <c r="D85" s="26">
        <v>50000</v>
      </c>
    </row>
    <row r="86" spans="2:4" ht="12.75">
      <c r="B86" s="34"/>
      <c r="C86" s="52" t="s">
        <v>26</v>
      </c>
      <c r="D86" s="53"/>
    </row>
    <row r="87" spans="2:4" ht="12.75">
      <c r="B87" s="34"/>
      <c r="C87" s="54" t="s">
        <v>24</v>
      </c>
      <c r="D87" s="26">
        <v>50000</v>
      </c>
    </row>
    <row r="88" spans="2:4" ht="12.75">
      <c r="B88" s="34"/>
      <c r="C88" s="54" t="s">
        <v>176</v>
      </c>
      <c r="D88" s="26">
        <v>30000</v>
      </c>
    </row>
    <row r="89" spans="2:4" ht="12.75">
      <c r="B89" s="34"/>
      <c r="C89" s="52" t="s">
        <v>28</v>
      </c>
      <c r="D89" s="55"/>
    </row>
    <row r="90" spans="2:4" ht="12.75">
      <c r="B90" s="34"/>
      <c r="C90" s="54" t="s">
        <v>25</v>
      </c>
      <c r="D90" s="26">
        <v>100000</v>
      </c>
    </row>
    <row r="91" spans="2:4" ht="12.75">
      <c r="B91" s="34"/>
      <c r="C91" s="54" t="s">
        <v>176</v>
      </c>
      <c r="D91" s="26">
        <v>100000</v>
      </c>
    </row>
    <row r="92" spans="2:4" ht="12.75">
      <c r="B92" s="34"/>
      <c r="C92" s="52" t="s">
        <v>29</v>
      </c>
      <c r="D92" s="26"/>
    </row>
    <row r="93" spans="2:4" ht="12.75">
      <c r="B93" s="34"/>
      <c r="C93" s="54" t="s">
        <v>25</v>
      </c>
      <c r="D93" s="26">
        <v>50000</v>
      </c>
    </row>
    <row r="94" spans="2:4" ht="12.75">
      <c r="B94" s="34"/>
      <c r="C94" s="54" t="s">
        <v>176</v>
      </c>
      <c r="D94" s="26">
        <v>40000</v>
      </c>
    </row>
    <row r="95" spans="2:4" ht="12.75">
      <c r="B95" s="34"/>
      <c r="C95" s="56"/>
      <c r="D95" s="26"/>
    </row>
    <row r="96" spans="2:4" ht="12.75">
      <c r="B96" s="42" t="s">
        <v>40</v>
      </c>
      <c r="C96" s="47" t="s">
        <v>10</v>
      </c>
      <c r="D96" s="44">
        <v>50000</v>
      </c>
    </row>
    <row r="97" spans="2:4" ht="12.75">
      <c r="B97" s="34"/>
      <c r="C97" s="56"/>
      <c r="D97" s="26"/>
    </row>
    <row r="98" spans="2:4" ht="12.75">
      <c r="B98" s="42" t="s">
        <v>41</v>
      </c>
      <c r="C98" s="47" t="s">
        <v>38</v>
      </c>
      <c r="D98" s="57"/>
    </row>
    <row r="99" spans="2:4" ht="12.75">
      <c r="B99" s="34"/>
      <c r="C99" s="38" t="s">
        <v>31</v>
      </c>
      <c r="D99" s="26">
        <v>0</v>
      </c>
    </row>
    <row r="100" spans="2:4" ht="12.75">
      <c r="B100" s="34"/>
      <c r="C100" s="38" t="s">
        <v>30</v>
      </c>
      <c r="D100" s="26">
        <v>20000</v>
      </c>
    </row>
    <row r="101" spans="2:4" ht="12.75">
      <c r="B101" s="34"/>
      <c r="C101" s="17"/>
      <c r="D101" s="53"/>
    </row>
    <row r="102" spans="2:4" ht="12.75">
      <c r="B102" s="42" t="s">
        <v>42</v>
      </c>
      <c r="C102" s="47" t="s">
        <v>23</v>
      </c>
      <c r="D102" s="57"/>
    </row>
    <row r="103" spans="2:4" ht="12.75">
      <c r="B103" s="34"/>
      <c r="C103" s="38" t="s">
        <v>31</v>
      </c>
      <c r="D103" s="26">
        <v>1</v>
      </c>
    </row>
    <row r="104" spans="2:4" ht="12.75">
      <c r="B104" s="34"/>
      <c r="C104" s="38" t="s">
        <v>32</v>
      </c>
      <c r="D104" s="26">
        <v>50000</v>
      </c>
    </row>
    <row r="105" spans="2:4" ht="12.75">
      <c r="B105" s="34"/>
      <c r="C105" s="17"/>
      <c r="D105" s="26"/>
    </row>
    <row r="106" spans="2:4" ht="12.75">
      <c r="B106" s="42" t="s">
        <v>43</v>
      </c>
      <c r="C106" s="47" t="s">
        <v>60</v>
      </c>
      <c r="D106" s="57"/>
    </row>
    <row r="107" spans="2:4" ht="12.75">
      <c r="B107" s="34"/>
      <c r="C107" s="38" t="s">
        <v>44</v>
      </c>
      <c r="D107" s="26">
        <f>D67</f>
        <v>8000</v>
      </c>
    </row>
    <row r="108" spans="2:4" ht="12.75">
      <c r="B108" s="34"/>
      <c r="C108" s="38" t="s">
        <v>45</v>
      </c>
      <c r="D108" s="26">
        <v>10000</v>
      </c>
    </row>
    <row r="109" spans="2:4" ht="12.75">
      <c r="B109" s="34"/>
      <c r="C109" s="17"/>
      <c r="D109" s="26"/>
    </row>
    <row r="110" spans="2:4" ht="12.75">
      <c r="B110" s="42" t="s">
        <v>58</v>
      </c>
      <c r="C110" s="47" t="s">
        <v>59</v>
      </c>
      <c r="D110" s="44">
        <f>D37</f>
        <v>15000</v>
      </c>
    </row>
    <row r="111" spans="2:4" ht="12.75">
      <c r="B111" s="34"/>
      <c r="C111" s="17"/>
      <c r="D111" s="26"/>
    </row>
    <row r="112" spans="2:4" ht="12.75">
      <c r="B112" s="42" t="s">
        <v>61</v>
      </c>
      <c r="C112" s="47" t="s">
        <v>68</v>
      </c>
      <c r="D112" s="44">
        <f>SUM(D116,D113:D114)</f>
        <v>5000</v>
      </c>
    </row>
    <row r="113" spans="2:4" ht="12.75">
      <c r="B113" s="34"/>
      <c r="C113" s="38" t="s">
        <v>63</v>
      </c>
      <c r="D113" s="26">
        <v>1900</v>
      </c>
    </row>
    <row r="114" spans="2:4" ht="12.75">
      <c r="B114" s="34"/>
      <c r="C114" s="38" t="s">
        <v>132</v>
      </c>
      <c r="D114" s="26">
        <v>1100</v>
      </c>
    </row>
    <row r="115" spans="2:4" ht="12.75">
      <c r="B115" s="34"/>
      <c r="C115" s="56" t="s">
        <v>131</v>
      </c>
      <c r="D115" s="26">
        <v>100</v>
      </c>
    </row>
    <row r="116" spans="2:4" ht="12.75">
      <c r="B116" s="58"/>
      <c r="C116" s="59" t="s">
        <v>62</v>
      </c>
      <c r="D116" s="60">
        <f>D69</f>
        <v>2000</v>
      </c>
    </row>
    <row r="117" ht="12.75">
      <c r="B117" s="4" t="s">
        <v>173</v>
      </c>
    </row>
    <row r="118" ht="12.75"/>
    <row r="119" ht="12.75"/>
    <row r="120" ht="15.75">
      <c r="B120" s="15" t="s">
        <v>65</v>
      </c>
    </row>
    <row r="121" ht="12.75">
      <c r="B121" s="2"/>
    </row>
    <row r="122" spans="2:4" ht="12.75">
      <c r="B122" s="21"/>
      <c r="C122" s="22"/>
      <c r="D122" s="33" t="s">
        <v>5</v>
      </c>
    </row>
    <row r="123" spans="2:4" ht="12.75">
      <c r="B123" s="61" t="s">
        <v>39</v>
      </c>
      <c r="C123" s="47" t="s">
        <v>66</v>
      </c>
      <c r="D123" s="44">
        <f>SUM(D124:D127)</f>
        <v>95000</v>
      </c>
    </row>
    <row r="124" spans="2:4" ht="12.75">
      <c r="B124" s="29"/>
      <c r="C124" s="62" t="s">
        <v>70</v>
      </c>
      <c r="D124" s="26">
        <f>D56</f>
        <v>100000</v>
      </c>
    </row>
    <row r="125" spans="2:4" ht="12.75">
      <c r="B125" s="29"/>
      <c r="C125" s="62" t="s">
        <v>71</v>
      </c>
      <c r="D125" s="26">
        <f>D66</f>
        <v>15000</v>
      </c>
    </row>
    <row r="126" spans="2:4" ht="12.75">
      <c r="B126" s="29"/>
      <c r="C126" s="63" t="s">
        <v>72</v>
      </c>
      <c r="D126" s="26">
        <f>-D58</f>
        <v>-15000</v>
      </c>
    </row>
    <row r="127" spans="2:4" ht="12.75">
      <c r="B127" s="29"/>
      <c r="C127" s="62" t="s">
        <v>77</v>
      </c>
      <c r="D127" s="26">
        <f>-D112</f>
        <v>-5000</v>
      </c>
    </row>
    <row r="128" spans="2:4" ht="12.75">
      <c r="B128" s="29"/>
      <c r="C128" s="17"/>
      <c r="D128" s="26"/>
    </row>
    <row r="129" spans="2:4" ht="12.75">
      <c r="B129" s="61" t="s">
        <v>40</v>
      </c>
      <c r="C129" s="47" t="s">
        <v>69</v>
      </c>
      <c r="D129" s="44">
        <f>SUM(D130:D135)</f>
        <v>-51000</v>
      </c>
    </row>
    <row r="130" spans="2:4" ht="12.75">
      <c r="B130" s="29"/>
      <c r="C130" s="62" t="s">
        <v>73</v>
      </c>
      <c r="D130" s="26">
        <f>-D49</f>
        <v>-30000</v>
      </c>
    </row>
    <row r="131" spans="2:4" ht="12.75">
      <c r="B131" s="29"/>
      <c r="C131" s="62" t="s">
        <v>74</v>
      </c>
      <c r="D131" s="26">
        <f>-D50</f>
        <v>-4000</v>
      </c>
    </row>
    <row r="132" spans="2:4" ht="12.75">
      <c r="B132" s="29"/>
      <c r="C132" s="62" t="s">
        <v>75</v>
      </c>
      <c r="D132" s="26">
        <f>-D51</f>
        <v>-1000</v>
      </c>
    </row>
    <row r="133" spans="2:4" ht="12.75">
      <c r="B133" s="29"/>
      <c r="C133" s="62" t="s">
        <v>76</v>
      </c>
      <c r="D133" s="26">
        <f>-D52</f>
        <v>-10000</v>
      </c>
    </row>
    <row r="134" spans="2:4" ht="25.5">
      <c r="B134" s="29"/>
      <c r="C134" s="63" t="s">
        <v>94</v>
      </c>
      <c r="D134" s="26">
        <f>-D53</f>
        <v>-5000</v>
      </c>
    </row>
    <row r="135" spans="2:4" ht="12.75">
      <c r="B135" s="29"/>
      <c r="C135" s="17" t="s">
        <v>93</v>
      </c>
      <c r="D135" s="26">
        <f>-D65</f>
        <v>-1000</v>
      </c>
    </row>
    <row r="136" spans="2:4" ht="12.75">
      <c r="B136" s="29"/>
      <c r="C136" s="17"/>
      <c r="D136" s="26"/>
    </row>
    <row r="137" spans="2:4" ht="12.75">
      <c r="B137" s="61" t="s">
        <v>41</v>
      </c>
      <c r="C137" s="47" t="s">
        <v>78</v>
      </c>
      <c r="D137" s="44">
        <f>SUM(D138)</f>
        <v>-151999</v>
      </c>
    </row>
    <row r="138" spans="2:4" ht="12.75">
      <c r="B138" s="29"/>
      <c r="C138" s="64" t="s">
        <v>88</v>
      </c>
      <c r="D138" s="36">
        <f>SUM(D139,D144:D147)</f>
        <v>-151999</v>
      </c>
    </row>
    <row r="139" spans="2:14" s="1" customFormat="1" ht="12.75">
      <c r="B139" s="29"/>
      <c r="C139" s="65" t="s">
        <v>83</v>
      </c>
      <c r="D139" s="36">
        <f>SUM(D140:D143)</f>
        <v>-30000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4" ht="12.75">
      <c r="B140" s="29"/>
      <c r="C140" s="66" t="s">
        <v>84</v>
      </c>
      <c r="D140" s="26">
        <f>D85-D84</f>
        <v>0</v>
      </c>
    </row>
    <row r="141" spans="2:4" ht="12.75">
      <c r="B141" s="29"/>
      <c r="C141" s="66" t="s">
        <v>85</v>
      </c>
      <c r="D141" s="26">
        <f>D88-D87</f>
        <v>-20000</v>
      </c>
    </row>
    <row r="142" spans="2:4" ht="12.75">
      <c r="B142" s="29"/>
      <c r="C142" s="66" t="s">
        <v>86</v>
      </c>
      <c r="D142" s="26">
        <f>D91-D90</f>
        <v>0</v>
      </c>
    </row>
    <row r="143" spans="2:4" ht="12.75">
      <c r="B143" s="29"/>
      <c r="C143" s="66" t="s">
        <v>87</v>
      </c>
      <c r="D143" s="26">
        <f>D94-D93</f>
        <v>-10000</v>
      </c>
    </row>
    <row r="144" spans="2:14" s="1" customFormat="1" ht="12.75">
      <c r="B144" s="29"/>
      <c r="C144" s="67" t="s">
        <v>79</v>
      </c>
      <c r="D144" s="36">
        <f>-D96</f>
        <v>-50000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s="1" customFormat="1" ht="12.75">
      <c r="B145" s="29"/>
      <c r="C145" s="67" t="s">
        <v>80</v>
      </c>
      <c r="D145" s="36">
        <f>-(D100-D99)</f>
        <v>-20000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s="1" customFormat="1" ht="12.75">
      <c r="B146" s="29"/>
      <c r="C146" s="67" t="s">
        <v>81</v>
      </c>
      <c r="D146" s="36">
        <f>-(D104-D103)</f>
        <v>-49999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s="1" customFormat="1" ht="12.75">
      <c r="B147" s="29"/>
      <c r="C147" s="67" t="s">
        <v>82</v>
      </c>
      <c r="D147" s="36">
        <f>-(D108-D107)</f>
        <v>-2000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4" ht="12.75">
      <c r="B148" s="29"/>
      <c r="C148" s="38"/>
      <c r="D148" s="26"/>
    </row>
    <row r="149" spans="2:4" ht="12.75">
      <c r="B149" s="61" t="s">
        <v>42</v>
      </c>
      <c r="C149" s="47" t="s">
        <v>89</v>
      </c>
      <c r="D149" s="44">
        <v>200000</v>
      </c>
    </row>
    <row r="150" spans="2:4" ht="12.75">
      <c r="B150" s="29"/>
      <c r="C150" s="17"/>
      <c r="D150" s="26"/>
    </row>
    <row r="151" spans="2:14" s="9" customFormat="1" ht="18.75" customHeight="1">
      <c r="B151" s="11" t="s">
        <v>43</v>
      </c>
      <c r="C151" s="12" t="s">
        <v>109</v>
      </c>
      <c r="D151" s="13">
        <f>D123+D129+D137+D149</f>
        <v>92001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2:4" ht="12.75">
      <c r="B152" s="29"/>
      <c r="C152" s="17"/>
      <c r="D152" s="26"/>
    </row>
    <row r="153" spans="2:4" ht="12.75">
      <c r="B153" s="61" t="s">
        <v>58</v>
      </c>
      <c r="C153" s="47" t="s">
        <v>108</v>
      </c>
      <c r="D153" s="44">
        <f>D54</f>
        <v>90000</v>
      </c>
    </row>
    <row r="154" spans="2:4" ht="12.75">
      <c r="B154" s="29"/>
      <c r="C154" s="17"/>
      <c r="D154" s="26"/>
    </row>
    <row r="155" spans="2:4" ht="12.75">
      <c r="B155" s="61" t="s">
        <v>61</v>
      </c>
      <c r="C155" s="47" t="s">
        <v>142</v>
      </c>
      <c r="D155" s="44">
        <f>D153-D151</f>
        <v>-2001</v>
      </c>
    </row>
    <row r="156" spans="2:4" ht="12.75">
      <c r="B156" s="29"/>
      <c r="C156" s="17"/>
      <c r="D156" s="26"/>
    </row>
    <row r="157" spans="2:4" ht="15">
      <c r="B157" s="11"/>
      <c r="C157" s="12"/>
      <c r="D157" s="20" t="str">
        <f>IF(D155&lt;=0,"Wniosek: Rekompensata nie jest nadmierna","Wniosek: Rekompensata jest nadmierna")</f>
        <v>Wniosek: Rekompensata nie jest nadmierna</v>
      </c>
    </row>
    <row r="158" ht="12.75"/>
    <row r="159" ht="12.75"/>
    <row r="160" ht="12.75"/>
    <row r="161" ht="12.75"/>
    <row r="162" ht="15.75">
      <c r="B162" s="15" t="s">
        <v>106</v>
      </c>
    </row>
    <row r="163" ht="12.75"/>
    <row r="164" ht="12.75">
      <c r="B164" s="4" t="s">
        <v>179</v>
      </c>
    </row>
    <row r="165" spans="2:13" ht="5.25" customHeight="1">
      <c r="B165" s="2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2:13" ht="12.75">
      <c r="B166" s="21"/>
      <c r="C166" s="22"/>
      <c r="D166" s="68" t="s">
        <v>5</v>
      </c>
      <c r="E166" s="69" t="s">
        <v>114</v>
      </c>
      <c r="F166" s="69" t="s">
        <v>115</v>
      </c>
      <c r="G166" s="69" t="s">
        <v>116</v>
      </c>
      <c r="H166" s="69" t="s">
        <v>117</v>
      </c>
      <c r="I166" s="69" t="s">
        <v>118</v>
      </c>
      <c r="J166" s="69" t="s">
        <v>119</v>
      </c>
      <c r="K166" s="69" t="s">
        <v>120</v>
      </c>
      <c r="L166" s="69" t="s">
        <v>121</v>
      </c>
      <c r="M166" s="70" t="s">
        <v>122</v>
      </c>
    </row>
    <row r="167" spans="2:13" ht="12.75">
      <c r="B167" s="29"/>
      <c r="C167" s="17"/>
      <c r="D167" s="18"/>
      <c r="E167" s="18"/>
      <c r="F167" s="18"/>
      <c r="G167" s="18"/>
      <c r="H167" s="18"/>
      <c r="I167" s="18"/>
      <c r="J167" s="18"/>
      <c r="K167" s="18"/>
      <c r="L167" s="18"/>
      <c r="M167" s="26"/>
    </row>
    <row r="168" spans="2:13" ht="12.75">
      <c r="B168" s="61" t="s">
        <v>39</v>
      </c>
      <c r="C168" s="47" t="s">
        <v>128</v>
      </c>
      <c r="D168" s="71">
        <f>SUM(D169:D171)</f>
        <v>-2300000</v>
      </c>
      <c r="E168" s="72"/>
      <c r="F168" s="72"/>
      <c r="G168" s="72"/>
      <c r="H168" s="72"/>
      <c r="I168" s="72"/>
      <c r="J168" s="72"/>
      <c r="K168" s="72"/>
      <c r="L168" s="72"/>
      <c r="M168" s="57"/>
    </row>
    <row r="169" spans="2:13" ht="12.75">
      <c r="B169" s="29"/>
      <c r="C169" s="40" t="s">
        <v>127</v>
      </c>
      <c r="D169" s="18">
        <f>-2000000</f>
        <v>-2000000</v>
      </c>
      <c r="E169" s="18"/>
      <c r="F169" s="18"/>
      <c r="G169" s="18"/>
      <c r="H169" s="18"/>
      <c r="I169" s="18"/>
      <c r="J169" s="18"/>
      <c r="K169" s="18"/>
      <c r="L169" s="18"/>
      <c r="M169" s="26"/>
    </row>
    <row r="170" spans="2:13" ht="12.75">
      <c r="B170" s="29"/>
      <c r="C170" s="38" t="s">
        <v>124</v>
      </c>
      <c r="D170" s="18">
        <f>-D20</f>
        <v>-250000</v>
      </c>
      <c r="E170" s="18"/>
      <c r="F170" s="18"/>
      <c r="G170" s="18"/>
      <c r="H170" s="18"/>
      <c r="I170" s="18"/>
      <c r="J170" s="18"/>
      <c r="K170" s="18"/>
      <c r="L170" s="18"/>
      <c r="M170" s="26"/>
    </row>
    <row r="171" spans="2:13" ht="12.75">
      <c r="B171" s="29"/>
      <c r="C171" s="38" t="s">
        <v>126</v>
      </c>
      <c r="D171" s="18">
        <f>-D19</f>
        <v>-50000</v>
      </c>
      <c r="E171" s="18"/>
      <c r="F171" s="18"/>
      <c r="G171" s="18"/>
      <c r="H171" s="18"/>
      <c r="I171" s="18"/>
      <c r="J171" s="18"/>
      <c r="K171" s="18"/>
      <c r="L171" s="18"/>
      <c r="M171" s="26"/>
    </row>
    <row r="172" spans="2:13" ht="12.75">
      <c r="B172" s="29"/>
      <c r="C172" s="17"/>
      <c r="D172" s="18"/>
      <c r="E172" s="18"/>
      <c r="F172" s="18"/>
      <c r="G172" s="18"/>
      <c r="H172" s="18"/>
      <c r="I172" s="18"/>
      <c r="J172" s="18"/>
      <c r="K172" s="18"/>
      <c r="L172" s="18"/>
      <c r="M172" s="26"/>
    </row>
    <row r="173" spans="2:13" ht="12.75">
      <c r="B173" s="61" t="s">
        <v>40</v>
      </c>
      <c r="C173" s="73" t="s">
        <v>111</v>
      </c>
      <c r="D173" s="71">
        <f>SUM(D174:D176)</f>
        <v>1111999</v>
      </c>
      <c r="E173" s="71">
        <f aca="true" t="shared" si="0" ref="E173:M173">SUM(E174:E176)</f>
        <v>212000</v>
      </c>
      <c r="F173" s="71">
        <f t="shared" si="0"/>
        <v>212000</v>
      </c>
      <c r="G173" s="71">
        <f t="shared" si="0"/>
        <v>212000</v>
      </c>
      <c r="H173" s="71">
        <f t="shared" si="0"/>
        <v>212000</v>
      </c>
      <c r="I173" s="71">
        <f t="shared" si="0"/>
        <v>212000</v>
      </c>
      <c r="J173" s="71">
        <f t="shared" si="0"/>
        <v>212000</v>
      </c>
      <c r="K173" s="71">
        <f t="shared" si="0"/>
        <v>212000</v>
      </c>
      <c r="L173" s="71">
        <f t="shared" si="0"/>
        <v>212000</v>
      </c>
      <c r="M173" s="44">
        <f t="shared" si="0"/>
        <v>212000</v>
      </c>
    </row>
    <row r="174" spans="2:13" ht="12.75">
      <c r="B174" s="29"/>
      <c r="C174" s="38" t="s">
        <v>2</v>
      </c>
      <c r="D174" s="18">
        <f>D48</f>
        <v>211999</v>
      </c>
      <c r="E174" s="18">
        <v>212000</v>
      </c>
      <c r="F174" s="18">
        <f>E174</f>
        <v>212000</v>
      </c>
      <c r="G174" s="18">
        <f aca="true" t="shared" si="1" ref="G174:M174">F174</f>
        <v>212000</v>
      </c>
      <c r="H174" s="18">
        <f t="shared" si="1"/>
        <v>212000</v>
      </c>
      <c r="I174" s="18">
        <f t="shared" si="1"/>
        <v>212000</v>
      </c>
      <c r="J174" s="18">
        <f t="shared" si="1"/>
        <v>212000</v>
      </c>
      <c r="K174" s="18">
        <f t="shared" si="1"/>
        <v>212000</v>
      </c>
      <c r="L174" s="18">
        <f t="shared" si="1"/>
        <v>212000</v>
      </c>
      <c r="M174" s="26">
        <f t="shared" si="1"/>
        <v>212000</v>
      </c>
    </row>
    <row r="175" spans="2:13" ht="12.75">
      <c r="B175" s="29"/>
      <c r="C175" s="38" t="s">
        <v>123</v>
      </c>
      <c r="D175" s="18">
        <f>D38+D40</f>
        <v>400000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26">
        <v>0</v>
      </c>
    </row>
    <row r="176" spans="2:13" ht="12.75">
      <c r="B176" s="29"/>
      <c r="C176" s="38" t="s">
        <v>125</v>
      </c>
      <c r="D176" s="18">
        <f>D36</f>
        <v>500000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26">
        <v>0</v>
      </c>
    </row>
    <row r="177" spans="2:13" ht="12.75">
      <c r="B177" s="29"/>
      <c r="C177" s="17"/>
      <c r="D177" s="18"/>
      <c r="E177" s="18"/>
      <c r="F177" s="18"/>
      <c r="G177" s="18"/>
      <c r="H177" s="18"/>
      <c r="I177" s="18"/>
      <c r="J177" s="18"/>
      <c r="K177" s="18"/>
      <c r="L177" s="18"/>
      <c r="M177" s="26"/>
    </row>
    <row r="178" spans="2:13" ht="12.75">
      <c r="B178" s="61" t="s">
        <v>41</v>
      </c>
      <c r="C178" s="47" t="s">
        <v>112</v>
      </c>
      <c r="D178" s="71">
        <f>SUM(D179:D182)</f>
        <v>-1015000</v>
      </c>
      <c r="E178" s="71">
        <f aca="true" t="shared" si="2" ref="E178:M178">SUM(E179:E182)</f>
        <v>-118000</v>
      </c>
      <c r="F178" s="71">
        <f t="shared" si="2"/>
        <v>-118000</v>
      </c>
      <c r="G178" s="71">
        <f t="shared" si="2"/>
        <v>-118000</v>
      </c>
      <c r="H178" s="71">
        <f t="shared" si="2"/>
        <v>-118000</v>
      </c>
      <c r="I178" s="71">
        <f t="shared" si="2"/>
        <v>-118000</v>
      </c>
      <c r="J178" s="71">
        <f t="shared" si="2"/>
        <v>-118000</v>
      </c>
      <c r="K178" s="71">
        <f t="shared" si="2"/>
        <v>-118000</v>
      </c>
      <c r="L178" s="71">
        <f t="shared" si="2"/>
        <v>-118000</v>
      </c>
      <c r="M178" s="44">
        <f t="shared" si="2"/>
        <v>-118000</v>
      </c>
    </row>
    <row r="179" spans="2:13" ht="12.75">
      <c r="B179" s="29"/>
      <c r="C179" s="38" t="s">
        <v>129</v>
      </c>
      <c r="D179" s="18">
        <f>-(D56-D57-D113-D114)</f>
        <v>-72000</v>
      </c>
      <c r="E179" s="18">
        <v>-75000</v>
      </c>
      <c r="F179" s="18">
        <v>-75000</v>
      </c>
      <c r="G179" s="18">
        <v>-75000</v>
      </c>
      <c r="H179" s="18">
        <v>-75000</v>
      </c>
      <c r="I179" s="18">
        <v>-75000</v>
      </c>
      <c r="J179" s="18">
        <v>-75000</v>
      </c>
      <c r="K179" s="18">
        <v>-75000</v>
      </c>
      <c r="L179" s="18">
        <v>-75000</v>
      </c>
      <c r="M179" s="26">
        <v>-75000</v>
      </c>
    </row>
    <row r="180" spans="2:13" ht="12.75">
      <c r="B180" s="29"/>
      <c r="C180" s="38" t="s">
        <v>3</v>
      </c>
      <c r="D180" s="18">
        <f>-(D67+D68)</f>
        <v>-13000</v>
      </c>
      <c r="E180" s="18">
        <f>D180</f>
        <v>-13000</v>
      </c>
      <c r="F180" s="18">
        <f aca="true" t="shared" si="3" ref="F180:M181">E180</f>
        <v>-13000</v>
      </c>
      <c r="G180" s="18">
        <f t="shared" si="3"/>
        <v>-13000</v>
      </c>
      <c r="H180" s="18">
        <f t="shared" si="3"/>
        <v>-13000</v>
      </c>
      <c r="I180" s="18">
        <f t="shared" si="3"/>
        <v>-13000</v>
      </c>
      <c r="J180" s="18">
        <f t="shared" si="3"/>
        <v>-13000</v>
      </c>
      <c r="K180" s="18">
        <f t="shared" si="3"/>
        <v>-13000</v>
      </c>
      <c r="L180" s="18">
        <f t="shared" si="3"/>
        <v>-13000</v>
      </c>
      <c r="M180" s="26">
        <f t="shared" si="3"/>
        <v>-13000</v>
      </c>
    </row>
    <row r="181" spans="2:13" ht="12.75">
      <c r="B181" s="29"/>
      <c r="C181" s="38" t="s">
        <v>133</v>
      </c>
      <c r="D181" s="18">
        <f>-D38/10</f>
        <v>-30000</v>
      </c>
      <c r="E181" s="18">
        <f>D181</f>
        <v>-30000</v>
      </c>
      <c r="F181" s="18">
        <f t="shared" si="3"/>
        <v>-30000</v>
      </c>
      <c r="G181" s="18">
        <f t="shared" si="3"/>
        <v>-30000</v>
      </c>
      <c r="H181" s="18">
        <f t="shared" si="3"/>
        <v>-30000</v>
      </c>
      <c r="I181" s="18">
        <f t="shared" si="3"/>
        <v>-30000</v>
      </c>
      <c r="J181" s="18">
        <f t="shared" si="3"/>
        <v>-30000</v>
      </c>
      <c r="K181" s="18">
        <f t="shared" si="3"/>
        <v>-30000</v>
      </c>
      <c r="L181" s="18">
        <f t="shared" si="3"/>
        <v>-30000</v>
      </c>
      <c r="M181" s="26">
        <f t="shared" si="3"/>
        <v>-30000</v>
      </c>
    </row>
    <row r="182" spans="2:13" ht="12.75">
      <c r="B182" s="29"/>
      <c r="C182" s="38" t="s">
        <v>134</v>
      </c>
      <c r="D182" s="18">
        <f>-D175-D176</f>
        <v>-900000</v>
      </c>
      <c r="E182" s="18"/>
      <c r="F182" s="18"/>
      <c r="G182" s="18"/>
      <c r="H182" s="18"/>
      <c r="I182" s="18"/>
      <c r="J182" s="18"/>
      <c r="K182" s="18"/>
      <c r="L182" s="18"/>
      <c r="M182" s="26"/>
    </row>
    <row r="183" spans="2:13" ht="12.75">
      <c r="B183" s="29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26"/>
    </row>
    <row r="184" spans="2:13" ht="12.75">
      <c r="B184" s="74" t="s">
        <v>42</v>
      </c>
      <c r="C184" s="50" t="s">
        <v>141</v>
      </c>
      <c r="D184" s="75">
        <f>D168+D173+D178</f>
        <v>-2203001</v>
      </c>
      <c r="E184" s="75">
        <f aca="true" t="shared" si="4" ref="E184:M184">E168+E173+E178</f>
        <v>94000</v>
      </c>
      <c r="F184" s="75">
        <f t="shared" si="4"/>
        <v>94000</v>
      </c>
      <c r="G184" s="75">
        <f t="shared" si="4"/>
        <v>94000</v>
      </c>
      <c r="H184" s="75">
        <f t="shared" si="4"/>
        <v>94000</v>
      </c>
      <c r="I184" s="75">
        <f t="shared" si="4"/>
        <v>94000</v>
      </c>
      <c r="J184" s="75">
        <f t="shared" si="4"/>
        <v>94000</v>
      </c>
      <c r="K184" s="75">
        <f t="shared" si="4"/>
        <v>94000</v>
      </c>
      <c r="L184" s="75">
        <f t="shared" si="4"/>
        <v>94000</v>
      </c>
      <c r="M184" s="46">
        <f t="shared" si="4"/>
        <v>94000</v>
      </c>
    </row>
    <row r="185" ht="12.75"/>
    <row r="186" spans="2:4" ht="15">
      <c r="B186" s="11" t="s">
        <v>43</v>
      </c>
      <c r="C186" s="12" t="s">
        <v>140</v>
      </c>
      <c r="D186" s="19">
        <f>IRR(D184:M184)</f>
        <v>-0.15807105181696193</v>
      </c>
    </row>
    <row r="187" ht="12.75"/>
    <row r="188" spans="2:4" ht="15">
      <c r="B188" s="11"/>
      <c r="C188" s="12"/>
      <c r="D188" s="20" t="str">
        <f>IF(D186&lt;=5.03%,"Wniosek: Rekompensata nie jest nadmierna","Wniosek: Rekompensata jest nadmierna")</f>
        <v>Wniosek: Rekompensata nie jest nadmierna</v>
      </c>
    </row>
    <row r="189" ht="12.75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0:N139"/>
  <sheetViews>
    <sheetView showGridLines="0" zoomScalePageLayoutView="0" workbookViewId="0" topLeftCell="A31">
      <selection activeCell="A10" sqref="A10:D54"/>
    </sheetView>
  </sheetViews>
  <sheetFormatPr defaultColWidth="0" defaultRowHeight="12.75" customHeight="1" zeroHeight="1"/>
  <cols>
    <col min="1" max="1" width="3.421875" style="2" customWidth="1"/>
    <col min="2" max="2" width="2.421875" style="4" customWidth="1"/>
    <col min="3" max="3" width="83.140625" style="2" bestFit="1" customWidth="1"/>
    <col min="4" max="4" width="17.57421875" style="3" customWidth="1"/>
    <col min="5" max="13" width="12.7109375" style="3" customWidth="1"/>
    <col min="14" max="14" width="3.8515625" style="3" customWidth="1"/>
    <col min="15" max="16384" width="9.140625" style="2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2:4" ht="18.75">
      <c r="B10" s="77" t="s">
        <v>156</v>
      </c>
      <c r="C10" s="78"/>
      <c r="D10" s="79"/>
    </row>
    <row r="11" spans="2:4" ht="18.75">
      <c r="B11" s="77" t="s">
        <v>165</v>
      </c>
      <c r="C11" s="78"/>
      <c r="D11" s="79"/>
    </row>
    <row r="12" ht="12.75"/>
    <row r="13" spans="2:14" ht="15.75">
      <c r="B13" s="15" t="s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>
      <c r="B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34.5" customHeight="1">
      <c r="B15" s="21"/>
      <c r="C15" s="22"/>
      <c r="D15" s="124" t="s">
        <v>97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23" t="s">
        <v>39</v>
      </c>
      <c r="C16" s="24" t="s">
        <v>166</v>
      </c>
      <c r="D16" s="26">
        <v>61000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23"/>
      <c r="C17" s="25" t="s">
        <v>110</v>
      </c>
      <c r="D17" s="26">
        <v>20000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5.5">
      <c r="B18" s="94" t="s">
        <v>40</v>
      </c>
      <c r="C18" s="91" t="s">
        <v>168</v>
      </c>
      <c r="D18" s="92">
        <v>500000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 s="95"/>
      <c r="C19" s="91" t="s">
        <v>99</v>
      </c>
      <c r="D19" s="92">
        <v>15000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96" t="s">
        <v>41</v>
      </c>
      <c r="C20" s="91" t="s">
        <v>167</v>
      </c>
      <c r="D20" s="92">
        <v>300000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95"/>
      <c r="C21" s="93" t="s">
        <v>100</v>
      </c>
      <c r="D21" s="92">
        <v>8000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32" t="s">
        <v>42</v>
      </c>
      <c r="C22" s="76" t="s">
        <v>171</v>
      </c>
      <c r="D22" s="60">
        <v>2000000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ht="12.75">
      <c r="C23" s="14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3:14" ht="12.75">
      <c r="C24" s="14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5.75">
      <c r="B25" s="15" t="s">
        <v>1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1"/>
      <c r="C27" s="22"/>
      <c r="D27" s="33" t="s">
        <v>5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4" ht="12.75">
      <c r="B28" s="34" t="s">
        <v>46</v>
      </c>
      <c r="C28" s="35" t="s">
        <v>15</v>
      </c>
      <c r="D28" s="36">
        <f>SUM(D29:D35)</f>
        <v>111000</v>
      </c>
    </row>
    <row r="29" spans="2:4" ht="12.75">
      <c r="B29" s="37" t="s">
        <v>39</v>
      </c>
      <c r="C29" s="38" t="s">
        <v>12</v>
      </c>
      <c r="D29" s="26">
        <v>30000</v>
      </c>
    </row>
    <row r="30" spans="2:4" ht="12.75">
      <c r="B30" s="37" t="s">
        <v>40</v>
      </c>
      <c r="C30" s="38" t="s">
        <v>13</v>
      </c>
      <c r="D30" s="26">
        <v>4000</v>
      </c>
    </row>
    <row r="31" spans="2:4" ht="12.75">
      <c r="B31" s="37" t="s">
        <v>41</v>
      </c>
      <c r="C31" s="38" t="s">
        <v>14</v>
      </c>
      <c r="D31" s="26">
        <v>1000</v>
      </c>
    </row>
    <row r="32" spans="2:4" ht="12.75">
      <c r="B32" s="37" t="s">
        <v>42</v>
      </c>
      <c r="C32" s="38" t="s">
        <v>11</v>
      </c>
      <c r="D32" s="26">
        <v>10000</v>
      </c>
    </row>
    <row r="33" spans="2:4" ht="12.75">
      <c r="B33" s="37" t="s">
        <v>43</v>
      </c>
      <c r="C33" s="38" t="s">
        <v>67</v>
      </c>
      <c r="D33" s="26">
        <v>5000</v>
      </c>
    </row>
    <row r="34" spans="1:5" ht="12.75">
      <c r="A34" s="17"/>
      <c r="B34" s="37" t="s">
        <v>58</v>
      </c>
      <c r="C34" s="7" t="s">
        <v>22</v>
      </c>
      <c r="D34" s="39">
        <v>61000</v>
      </c>
      <c r="E34" s="18"/>
    </row>
    <row r="35" spans="2:4" ht="25.5">
      <c r="B35" s="82" t="s">
        <v>61</v>
      </c>
      <c r="C35" s="81" t="s">
        <v>145</v>
      </c>
      <c r="D35" s="80">
        <v>0</v>
      </c>
    </row>
    <row r="36" spans="2:4" ht="12.75">
      <c r="B36" s="34" t="s">
        <v>47</v>
      </c>
      <c r="C36" s="35" t="s">
        <v>17</v>
      </c>
      <c r="D36" s="36">
        <v>100000</v>
      </c>
    </row>
    <row r="37" spans="1:4" ht="12.75">
      <c r="A37" s="6"/>
      <c r="B37" s="37" t="s">
        <v>39</v>
      </c>
      <c r="C37" s="40" t="s">
        <v>18</v>
      </c>
      <c r="D37" s="26">
        <v>25000</v>
      </c>
    </row>
    <row r="38" spans="1:4" ht="12.75">
      <c r="A38" s="6"/>
      <c r="B38" s="37" t="s">
        <v>64</v>
      </c>
      <c r="C38" s="125" t="s">
        <v>229</v>
      </c>
      <c r="D38" s="26">
        <v>15000</v>
      </c>
    </row>
    <row r="39" spans="2:4" ht="12.75">
      <c r="B39" s="42" t="s">
        <v>48</v>
      </c>
      <c r="C39" s="43" t="s">
        <v>16</v>
      </c>
      <c r="D39" s="44">
        <f>D28-D36</f>
        <v>11000</v>
      </c>
    </row>
    <row r="40" spans="2:4" ht="12.75">
      <c r="B40" s="34"/>
      <c r="C40" s="17"/>
      <c r="D40" s="26"/>
    </row>
    <row r="41" spans="2:4" ht="12.75">
      <c r="B41" s="34" t="s">
        <v>49</v>
      </c>
      <c r="C41" s="35" t="s">
        <v>20</v>
      </c>
      <c r="D41" s="36">
        <v>10000</v>
      </c>
    </row>
    <row r="42" spans="2:4" ht="12.75">
      <c r="B42" s="34" t="s">
        <v>50</v>
      </c>
      <c r="C42" s="35" t="s">
        <v>21</v>
      </c>
      <c r="D42" s="36">
        <v>8500</v>
      </c>
    </row>
    <row r="43" spans="1:4" s="3" customFormat="1" ht="12.75">
      <c r="A43" s="2"/>
      <c r="B43" s="42" t="s">
        <v>51</v>
      </c>
      <c r="C43" s="43" t="s">
        <v>6</v>
      </c>
      <c r="D43" s="44">
        <f>D41-D42+D39</f>
        <v>12500</v>
      </c>
    </row>
    <row r="44" spans="1:4" s="3" customFormat="1" ht="12.75">
      <c r="A44" s="2"/>
      <c r="B44" s="34"/>
      <c r="C44" s="17"/>
      <c r="D44" s="26"/>
    </row>
    <row r="45" spans="1:4" s="3" customFormat="1" ht="12.75">
      <c r="A45" s="2"/>
      <c r="B45" s="34" t="s">
        <v>52</v>
      </c>
      <c r="C45" s="35" t="s">
        <v>36</v>
      </c>
      <c r="D45" s="36">
        <f>1000</f>
        <v>1000</v>
      </c>
    </row>
    <row r="46" spans="1:4" s="3" customFormat="1" ht="12.75">
      <c r="A46" s="2"/>
      <c r="B46" s="34" t="s">
        <v>53</v>
      </c>
      <c r="C46" s="35" t="s">
        <v>33</v>
      </c>
      <c r="D46" s="36">
        <f>SUM(D47:D48)</f>
        <v>10000</v>
      </c>
    </row>
    <row r="47" spans="1:4" s="3" customFormat="1" ht="12.75">
      <c r="A47" s="2"/>
      <c r="B47" s="37" t="s">
        <v>39</v>
      </c>
      <c r="C47" s="40" t="s">
        <v>34</v>
      </c>
      <c r="D47" s="26">
        <v>8000</v>
      </c>
    </row>
    <row r="48" spans="1:4" s="3" customFormat="1" ht="12.75">
      <c r="A48" s="2"/>
      <c r="B48" s="37" t="s">
        <v>40</v>
      </c>
      <c r="C48" s="40" t="s">
        <v>35</v>
      </c>
      <c r="D48" s="26">
        <v>2000</v>
      </c>
    </row>
    <row r="49" spans="1:4" s="3" customFormat="1" ht="12.75">
      <c r="A49" s="2"/>
      <c r="B49" s="42" t="s">
        <v>54</v>
      </c>
      <c r="C49" s="43" t="s">
        <v>7</v>
      </c>
      <c r="D49" s="44">
        <f>D45-D46+D43</f>
        <v>3500</v>
      </c>
    </row>
    <row r="50" spans="1:4" s="3" customFormat="1" ht="12.75">
      <c r="A50" s="2"/>
      <c r="B50" s="34"/>
      <c r="C50" s="17"/>
      <c r="D50" s="26"/>
    </row>
    <row r="51" spans="1:4" s="3" customFormat="1" ht="12.75">
      <c r="A51" s="2"/>
      <c r="B51" s="42" t="s">
        <v>55</v>
      </c>
      <c r="C51" s="47" t="s">
        <v>8</v>
      </c>
      <c r="D51" s="44">
        <f>D49</f>
        <v>3500</v>
      </c>
    </row>
    <row r="52" spans="1:4" s="3" customFormat="1" ht="12.75">
      <c r="A52" s="2"/>
      <c r="B52" s="34"/>
      <c r="C52" s="48" t="s">
        <v>105</v>
      </c>
      <c r="D52" s="49">
        <f>D51+D38</f>
        <v>18500</v>
      </c>
    </row>
    <row r="53" spans="1:4" s="3" customFormat="1" ht="12.75">
      <c r="A53" s="2"/>
      <c r="B53" s="34" t="s">
        <v>56</v>
      </c>
      <c r="C53" s="40" t="s">
        <v>4</v>
      </c>
      <c r="D53" s="26">
        <f>ROUND(IF(D52&gt;0,0.19*D51,0),0)</f>
        <v>665</v>
      </c>
    </row>
    <row r="54" spans="1:4" s="3" customFormat="1" ht="12.75">
      <c r="A54" s="2"/>
      <c r="B54" s="45" t="s">
        <v>57</v>
      </c>
      <c r="C54" s="50" t="s">
        <v>9</v>
      </c>
      <c r="D54" s="46">
        <f>D51-D53</f>
        <v>2835</v>
      </c>
    </row>
    <row r="55" spans="1:3" s="3" customFormat="1" ht="12.75">
      <c r="A55" s="2"/>
      <c r="B55" s="8"/>
      <c r="C55" s="2"/>
    </row>
    <row r="56" spans="1:3" s="3" customFormat="1" ht="12.75">
      <c r="A56" s="2"/>
      <c r="B56" s="8"/>
      <c r="C56" s="2"/>
    </row>
    <row r="57" spans="1:3" s="3" customFormat="1" ht="12.75">
      <c r="A57" s="2"/>
      <c r="B57" s="8"/>
      <c r="C57" s="2"/>
    </row>
    <row r="58" spans="1:3" s="3" customFormat="1" ht="15.75">
      <c r="A58" s="2"/>
      <c r="B58" s="15" t="s">
        <v>90</v>
      </c>
      <c r="C58" s="2"/>
    </row>
    <row r="59" spans="1:3" s="3" customFormat="1" ht="12.75">
      <c r="A59" s="2"/>
      <c r="B59" s="2"/>
      <c r="C59" s="2"/>
    </row>
    <row r="60" spans="1:4" s="3" customFormat="1" ht="12.75">
      <c r="A60" s="2"/>
      <c r="B60" s="21"/>
      <c r="C60" s="22"/>
      <c r="D60" s="33" t="s">
        <v>5</v>
      </c>
    </row>
    <row r="61" spans="1:4" s="3" customFormat="1" ht="12.75">
      <c r="A61" s="2"/>
      <c r="B61" s="42" t="s">
        <v>39</v>
      </c>
      <c r="C61" s="47" t="s">
        <v>169</v>
      </c>
      <c r="D61" s="44">
        <v>0</v>
      </c>
    </row>
    <row r="62" spans="1:4" s="3" customFormat="1" ht="12.75">
      <c r="A62" s="2"/>
      <c r="B62" s="42" t="s">
        <v>40</v>
      </c>
      <c r="C62" s="47" t="s">
        <v>60</v>
      </c>
      <c r="D62" s="57"/>
    </row>
    <row r="63" spans="1:4" s="3" customFormat="1" ht="12.75">
      <c r="A63" s="2"/>
      <c r="B63" s="34"/>
      <c r="C63" s="38" t="s">
        <v>44</v>
      </c>
      <c r="D63" s="26">
        <f>D47</f>
        <v>8000</v>
      </c>
    </row>
    <row r="64" spans="1:4" s="3" customFormat="1" ht="12.75">
      <c r="A64" s="2"/>
      <c r="B64" s="34"/>
      <c r="C64" s="38" t="s">
        <v>45</v>
      </c>
      <c r="D64" s="26">
        <v>10000</v>
      </c>
    </row>
    <row r="65" spans="1:4" s="3" customFormat="1" ht="12.75">
      <c r="A65" s="2"/>
      <c r="B65" s="34"/>
      <c r="C65" s="17"/>
      <c r="D65" s="26"/>
    </row>
    <row r="66" spans="1:4" s="3" customFormat="1" ht="12.75">
      <c r="A66" s="2"/>
      <c r="B66" s="42" t="s">
        <v>41</v>
      </c>
      <c r="C66" s="47" t="s">
        <v>59</v>
      </c>
      <c r="D66" s="44">
        <f>D38</f>
        <v>15000</v>
      </c>
    </row>
    <row r="67" spans="1:4" s="3" customFormat="1" ht="12.75">
      <c r="A67" s="2"/>
      <c r="B67" s="34"/>
      <c r="C67" s="17"/>
      <c r="D67" s="26"/>
    </row>
    <row r="68" spans="1:4" s="3" customFormat="1" ht="12.75">
      <c r="A68" s="2"/>
      <c r="B68" s="42" t="s">
        <v>42</v>
      </c>
      <c r="C68" s="47" t="s">
        <v>68</v>
      </c>
      <c r="D68" s="44">
        <f>SUM(D72,D69:D70)</f>
        <v>5000</v>
      </c>
    </row>
    <row r="69" spans="1:4" s="3" customFormat="1" ht="12.75">
      <c r="A69" s="2"/>
      <c r="B69" s="34"/>
      <c r="C69" s="38" t="s">
        <v>63</v>
      </c>
      <c r="D69" s="26">
        <v>1900</v>
      </c>
    </row>
    <row r="70" spans="1:4" s="3" customFormat="1" ht="12.75">
      <c r="A70" s="2"/>
      <c r="B70" s="34"/>
      <c r="C70" s="38" t="s">
        <v>132</v>
      </c>
      <c r="D70" s="26">
        <v>1100</v>
      </c>
    </row>
    <row r="71" spans="1:4" s="3" customFormat="1" ht="12.75">
      <c r="A71" s="2"/>
      <c r="B71" s="34"/>
      <c r="C71" s="56" t="s">
        <v>131</v>
      </c>
      <c r="D71" s="26">
        <v>100</v>
      </c>
    </row>
    <row r="72" spans="1:4" s="3" customFormat="1" ht="12.75">
      <c r="A72" s="2"/>
      <c r="B72" s="34"/>
      <c r="C72" s="38" t="s">
        <v>62</v>
      </c>
      <c r="D72" s="26">
        <f>D48</f>
        <v>2000</v>
      </c>
    </row>
    <row r="73" spans="1:4" s="3" customFormat="1" ht="12.75">
      <c r="A73" s="2"/>
      <c r="B73" s="29"/>
      <c r="C73" s="17"/>
      <c r="D73" s="26"/>
    </row>
    <row r="74" spans="1:4" s="3" customFormat="1" ht="25.5">
      <c r="A74" s="2"/>
      <c r="B74" s="84">
        <v>5</v>
      </c>
      <c r="C74" s="83" t="s">
        <v>147</v>
      </c>
      <c r="D74" s="44"/>
    </row>
    <row r="75" spans="1:4" s="3" customFormat="1" ht="12.75">
      <c r="A75" s="2"/>
      <c r="B75" s="34"/>
      <c r="C75" s="38" t="s">
        <v>150</v>
      </c>
      <c r="D75" s="26">
        <f>D64-D63</f>
        <v>2000</v>
      </c>
    </row>
    <row r="76" spans="1:4" s="3" customFormat="1" ht="12.75">
      <c r="A76" s="2"/>
      <c r="B76" s="58"/>
      <c r="C76" s="59" t="s">
        <v>151</v>
      </c>
      <c r="D76" s="60">
        <f>ROUND(0.19*D75,0)</f>
        <v>380</v>
      </c>
    </row>
    <row r="77" spans="1:3" s="3" customFormat="1" ht="12.75">
      <c r="A77" s="2"/>
      <c r="B77" s="4"/>
      <c r="C77" s="2"/>
    </row>
    <row r="78" spans="1:3" s="3" customFormat="1" ht="12.75">
      <c r="A78" s="2"/>
      <c r="B78" s="4"/>
      <c r="C78" s="2"/>
    </row>
    <row r="79" spans="1:3" s="3" customFormat="1" ht="15.75">
      <c r="A79" s="2"/>
      <c r="B79" s="15" t="s">
        <v>65</v>
      </c>
      <c r="C79" s="2"/>
    </row>
    <row r="80" spans="1:3" s="3" customFormat="1" ht="12.75">
      <c r="A80" s="2"/>
      <c r="B80" s="2"/>
      <c r="C80" s="2"/>
    </row>
    <row r="81" spans="1:4" s="3" customFormat="1" ht="12.75">
      <c r="A81" s="2"/>
      <c r="B81" s="21"/>
      <c r="C81" s="22"/>
      <c r="D81" s="33" t="s">
        <v>5</v>
      </c>
    </row>
    <row r="82" spans="1:4" s="3" customFormat="1" ht="12.75">
      <c r="A82" s="2"/>
      <c r="B82" s="61" t="s">
        <v>39</v>
      </c>
      <c r="C82" s="47" t="s">
        <v>66</v>
      </c>
      <c r="D82" s="44">
        <f>SUM(D83:D86)</f>
        <v>90000</v>
      </c>
    </row>
    <row r="83" spans="1:4" s="3" customFormat="1" ht="12.75">
      <c r="A83" s="2"/>
      <c r="B83" s="29"/>
      <c r="C83" s="62" t="s">
        <v>70</v>
      </c>
      <c r="D83" s="26">
        <f>D36</f>
        <v>100000</v>
      </c>
    </row>
    <row r="84" spans="1:4" s="3" customFormat="1" ht="12.75">
      <c r="A84" s="2"/>
      <c r="B84" s="29"/>
      <c r="C84" s="62" t="s">
        <v>71</v>
      </c>
      <c r="D84" s="26">
        <f>D46</f>
        <v>10000</v>
      </c>
    </row>
    <row r="85" spans="1:4" s="3" customFormat="1" ht="12.75">
      <c r="A85" s="2"/>
      <c r="B85" s="29"/>
      <c r="C85" s="63" t="s">
        <v>72</v>
      </c>
      <c r="D85" s="26">
        <f>-D38</f>
        <v>-15000</v>
      </c>
    </row>
    <row r="86" spans="1:4" s="3" customFormat="1" ht="12.75">
      <c r="A86" s="2"/>
      <c r="B86" s="29"/>
      <c r="C86" s="62" t="s">
        <v>77</v>
      </c>
      <c r="D86" s="26">
        <f>-D68</f>
        <v>-5000</v>
      </c>
    </row>
    <row r="87" spans="1:4" s="3" customFormat="1" ht="12.75">
      <c r="A87" s="2"/>
      <c r="B87" s="29"/>
      <c r="C87" s="17"/>
      <c r="D87" s="26"/>
    </row>
    <row r="88" spans="1:4" s="3" customFormat="1" ht="12.75">
      <c r="A88" s="2"/>
      <c r="B88" s="61" t="s">
        <v>40</v>
      </c>
      <c r="C88" s="47" t="s">
        <v>69</v>
      </c>
      <c r="D88" s="44">
        <f>SUM(D89:D94)</f>
        <v>-51000</v>
      </c>
    </row>
    <row r="89" spans="1:4" s="3" customFormat="1" ht="12.75">
      <c r="A89" s="2"/>
      <c r="B89" s="29"/>
      <c r="C89" s="62" t="s">
        <v>73</v>
      </c>
      <c r="D89" s="26">
        <f>-D29</f>
        <v>-30000</v>
      </c>
    </row>
    <row r="90" spans="1:4" s="3" customFormat="1" ht="12.75">
      <c r="A90" s="2"/>
      <c r="B90" s="29"/>
      <c r="C90" s="62" t="s">
        <v>74</v>
      </c>
      <c r="D90" s="26">
        <f>-D30</f>
        <v>-4000</v>
      </c>
    </row>
    <row r="91" spans="1:4" s="3" customFormat="1" ht="12.75">
      <c r="A91" s="2"/>
      <c r="B91" s="29"/>
      <c r="C91" s="62" t="s">
        <v>75</v>
      </c>
      <c r="D91" s="26">
        <f>-D31</f>
        <v>-1000</v>
      </c>
    </row>
    <row r="92" spans="1:4" s="3" customFormat="1" ht="12.75">
      <c r="A92" s="2"/>
      <c r="B92" s="29"/>
      <c r="C92" s="62" t="s">
        <v>76</v>
      </c>
      <c r="D92" s="26">
        <f>-D32</f>
        <v>-10000</v>
      </c>
    </row>
    <row r="93" spans="1:4" s="3" customFormat="1" ht="25.5">
      <c r="A93" s="2"/>
      <c r="B93" s="29"/>
      <c r="C93" s="63" t="s">
        <v>94</v>
      </c>
      <c r="D93" s="26">
        <f>-D33</f>
        <v>-5000</v>
      </c>
    </row>
    <row r="94" spans="1:4" s="3" customFormat="1" ht="12.75">
      <c r="A94" s="2"/>
      <c r="B94" s="29"/>
      <c r="C94" s="17" t="s">
        <v>93</v>
      </c>
      <c r="D94" s="26">
        <f>-D45</f>
        <v>-1000</v>
      </c>
    </row>
    <row r="95" spans="1:4" s="3" customFormat="1" ht="12.75">
      <c r="A95" s="2"/>
      <c r="B95" s="29"/>
      <c r="C95" s="17"/>
      <c r="D95" s="26"/>
    </row>
    <row r="96" spans="1:4" s="3" customFormat="1" ht="12.75">
      <c r="A96" s="2"/>
      <c r="B96" s="61" t="s">
        <v>41</v>
      </c>
      <c r="C96" s="47" t="s">
        <v>78</v>
      </c>
      <c r="D96" s="44">
        <f>SUM(D97)</f>
        <v>-2380</v>
      </c>
    </row>
    <row r="97" spans="2:4" ht="12.75">
      <c r="B97" s="29"/>
      <c r="C97" s="64" t="s">
        <v>88</v>
      </c>
      <c r="D97" s="36">
        <f>SUM(D98:D99)</f>
        <v>-2380</v>
      </c>
    </row>
    <row r="98" spans="2:14" s="1" customFormat="1" ht="12.75">
      <c r="B98" s="29"/>
      <c r="C98" s="40" t="s">
        <v>82</v>
      </c>
      <c r="D98" s="51">
        <f>-(D64-D63)</f>
        <v>-2000</v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4" ht="12.75">
      <c r="B99" s="29"/>
      <c r="C99" s="40" t="s">
        <v>152</v>
      </c>
      <c r="D99" s="51">
        <f>-D76</f>
        <v>-380</v>
      </c>
    </row>
    <row r="100" spans="2:4" ht="12.75">
      <c r="B100" s="29"/>
      <c r="C100" s="38"/>
      <c r="D100" s="26"/>
    </row>
    <row r="101" spans="2:4" ht="12.75">
      <c r="B101" s="61" t="s">
        <v>42</v>
      </c>
      <c r="C101" s="47" t="s">
        <v>89</v>
      </c>
      <c r="D101" s="44">
        <v>25000</v>
      </c>
    </row>
    <row r="102" spans="2:4" ht="12.75">
      <c r="B102" s="29"/>
      <c r="C102" s="17"/>
      <c r="D102" s="26"/>
    </row>
    <row r="103" spans="2:14" s="9" customFormat="1" ht="18.75" customHeight="1">
      <c r="B103" s="11" t="s">
        <v>43</v>
      </c>
      <c r="C103" s="12" t="s">
        <v>109</v>
      </c>
      <c r="D103" s="13">
        <f>D82+D88+D96+D101</f>
        <v>61620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2:4" ht="12.75">
      <c r="B104" s="29"/>
      <c r="C104" s="17"/>
      <c r="D104" s="26"/>
    </row>
    <row r="105" spans="1:4" s="3" customFormat="1" ht="12.75">
      <c r="A105" s="2"/>
      <c r="B105" s="61" t="s">
        <v>58</v>
      </c>
      <c r="C105" s="47" t="s">
        <v>108</v>
      </c>
      <c r="D105" s="44">
        <f>D34</f>
        <v>61000</v>
      </c>
    </row>
    <row r="106" spans="1:4" s="3" customFormat="1" ht="12.75">
      <c r="A106" s="2"/>
      <c r="B106" s="29"/>
      <c r="C106" s="17"/>
      <c r="D106" s="26"/>
    </row>
    <row r="107" spans="1:4" s="3" customFormat="1" ht="12.75">
      <c r="A107" s="2"/>
      <c r="B107" s="61" t="s">
        <v>61</v>
      </c>
      <c r="C107" s="47" t="s">
        <v>142</v>
      </c>
      <c r="D107" s="44">
        <f>D105-D103</f>
        <v>-620</v>
      </c>
    </row>
    <row r="108" spans="1:4" s="3" customFormat="1" ht="12.75">
      <c r="A108" s="2"/>
      <c r="B108" s="29"/>
      <c r="C108" s="17"/>
      <c r="D108" s="26"/>
    </row>
    <row r="109" spans="1:4" s="3" customFormat="1" ht="15">
      <c r="A109" s="2"/>
      <c r="B109" s="11" t="s">
        <v>130</v>
      </c>
      <c r="C109" s="12"/>
      <c r="D109" s="20" t="str">
        <f>IF(D107&lt;=0,"Wniosek: Rekompensata nie jest nadmierna","Wniosek: Rekompensata jest nadmierna")</f>
        <v>Wniosek: Rekompensata nie jest nadmierna</v>
      </c>
    </row>
    <row r="110" spans="1:3" s="3" customFormat="1" ht="12.75">
      <c r="A110" s="2"/>
      <c r="B110" s="4"/>
      <c r="C110" s="2"/>
    </row>
    <row r="111" spans="1:3" s="3" customFormat="1" ht="12.75">
      <c r="A111" s="2"/>
      <c r="B111" s="4"/>
      <c r="C111" s="2"/>
    </row>
    <row r="112" spans="1:3" s="3" customFormat="1" ht="12.75">
      <c r="A112" s="2"/>
      <c r="B112" s="4"/>
      <c r="C112" s="2"/>
    </row>
    <row r="113" spans="1:3" s="3" customFormat="1" ht="12.75">
      <c r="A113" s="2"/>
      <c r="B113" s="4"/>
      <c r="C113" s="2"/>
    </row>
    <row r="114" spans="1:3" s="3" customFormat="1" ht="15.75">
      <c r="A114" s="2"/>
      <c r="B114" s="15" t="s">
        <v>106</v>
      </c>
      <c r="C114" s="2"/>
    </row>
    <row r="115" spans="1:3" s="3" customFormat="1" ht="12.75">
      <c r="A115" s="2"/>
      <c r="B115" s="4"/>
      <c r="C115" s="2"/>
    </row>
    <row r="116" spans="1:3" s="3" customFormat="1" ht="12.75">
      <c r="A116" s="2"/>
      <c r="B116" s="4" t="s">
        <v>179</v>
      </c>
      <c r="C116" s="2"/>
    </row>
    <row r="117" spans="1:13" s="3" customFormat="1" ht="5.25" customHeight="1">
      <c r="A117" s="2"/>
      <c r="B117" s="2"/>
      <c r="C117" s="2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s="3" customFormat="1" ht="12.75">
      <c r="A118" s="2"/>
      <c r="B118" s="21"/>
      <c r="C118" s="22"/>
      <c r="D118" s="68" t="s">
        <v>5</v>
      </c>
      <c r="E118" s="69" t="s">
        <v>114</v>
      </c>
      <c r="F118" s="69" t="s">
        <v>115</v>
      </c>
      <c r="G118" s="69" t="s">
        <v>116</v>
      </c>
      <c r="H118" s="69" t="s">
        <v>117</v>
      </c>
      <c r="I118" s="69" t="s">
        <v>118</v>
      </c>
      <c r="J118" s="69" t="s">
        <v>119</v>
      </c>
      <c r="K118" s="69" t="s">
        <v>120</v>
      </c>
      <c r="L118" s="69" t="s">
        <v>121</v>
      </c>
      <c r="M118" s="70" t="s">
        <v>122</v>
      </c>
    </row>
    <row r="119" spans="1:13" s="3" customFormat="1" ht="12.75">
      <c r="A119" s="2"/>
      <c r="B119" s="29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26"/>
    </row>
    <row r="120" spans="1:13" s="3" customFormat="1" ht="12.75">
      <c r="A120" s="2"/>
      <c r="B120" s="61" t="s">
        <v>39</v>
      </c>
      <c r="C120" s="47" t="s">
        <v>153</v>
      </c>
      <c r="D120" s="71">
        <f>SUM(D121:D123)</f>
        <v>-2500000</v>
      </c>
      <c r="E120" s="72"/>
      <c r="F120" s="72"/>
      <c r="G120" s="72"/>
      <c r="H120" s="72"/>
      <c r="I120" s="72"/>
      <c r="J120" s="72"/>
      <c r="K120" s="72"/>
      <c r="L120" s="72"/>
      <c r="M120" s="57"/>
    </row>
    <row r="121" spans="1:13" s="3" customFormat="1" ht="12.75">
      <c r="A121" s="2"/>
      <c r="B121" s="29"/>
      <c r="C121" s="40" t="s">
        <v>127</v>
      </c>
      <c r="D121" s="18">
        <f>-2000000</f>
        <v>-2000000</v>
      </c>
      <c r="E121" s="18"/>
      <c r="F121" s="18"/>
      <c r="G121" s="18"/>
      <c r="H121" s="18"/>
      <c r="I121" s="18"/>
      <c r="J121" s="18"/>
      <c r="K121" s="18"/>
      <c r="L121" s="18"/>
      <c r="M121" s="26"/>
    </row>
    <row r="122" spans="1:13" s="3" customFormat="1" ht="12.75">
      <c r="A122" s="2"/>
      <c r="B122" s="29"/>
      <c r="C122" s="38" t="s">
        <v>170</v>
      </c>
      <c r="D122" s="18">
        <f>-D18</f>
        <v>-500000</v>
      </c>
      <c r="E122" s="18"/>
      <c r="F122" s="18"/>
      <c r="G122" s="18"/>
      <c r="H122" s="18"/>
      <c r="I122" s="18"/>
      <c r="J122" s="18"/>
      <c r="K122" s="18"/>
      <c r="L122" s="18"/>
      <c r="M122" s="26"/>
    </row>
    <row r="123" spans="1:13" s="3" customFormat="1" ht="12.75">
      <c r="A123" s="2"/>
      <c r="B123" s="29"/>
      <c r="C123" s="38" t="s">
        <v>126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26"/>
    </row>
    <row r="124" spans="1:13" s="3" customFormat="1" ht="12.75">
      <c r="A124" s="2"/>
      <c r="B124" s="29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26"/>
    </row>
    <row r="125" spans="1:13" s="3" customFormat="1" ht="12.75">
      <c r="A125" s="2"/>
      <c r="B125" s="61" t="s">
        <v>40</v>
      </c>
      <c r="C125" s="73" t="s">
        <v>111</v>
      </c>
      <c r="D125" s="71">
        <f aca="true" t="shared" si="0" ref="D125:M125">SUM(D126:D127)</f>
        <v>411000</v>
      </c>
      <c r="E125" s="71">
        <f t="shared" si="0"/>
        <v>111000</v>
      </c>
      <c r="F125" s="71">
        <f t="shared" si="0"/>
        <v>111000</v>
      </c>
      <c r="G125" s="71">
        <f t="shared" si="0"/>
        <v>111000</v>
      </c>
      <c r="H125" s="71">
        <f t="shared" si="0"/>
        <v>111000</v>
      </c>
      <c r="I125" s="71">
        <f t="shared" si="0"/>
        <v>111000</v>
      </c>
      <c r="J125" s="71">
        <f t="shared" si="0"/>
        <v>111000</v>
      </c>
      <c r="K125" s="71">
        <f t="shared" si="0"/>
        <v>111000</v>
      </c>
      <c r="L125" s="71">
        <f t="shared" si="0"/>
        <v>111000</v>
      </c>
      <c r="M125" s="44">
        <f t="shared" si="0"/>
        <v>111000</v>
      </c>
    </row>
    <row r="126" spans="1:13" s="3" customFormat="1" ht="12.75">
      <c r="A126" s="2"/>
      <c r="B126" s="29"/>
      <c r="C126" s="38" t="s">
        <v>2</v>
      </c>
      <c r="D126" s="18">
        <f>D28</f>
        <v>111000</v>
      </c>
      <c r="E126" s="18">
        <f>D126</f>
        <v>111000</v>
      </c>
      <c r="F126" s="18">
        <f>E126</f>
        <v>111000</v>
      </c>
      <c r="G126" s="18">
        <f aca="true" t="shared" si="1" ref="G126:M126">F126</f>
        <v>111000</v>
      </c>
      <c r="H126" s="18">
        <f t="shared" si="1"/>
        <v>111000</v>
      </c>
      <c r="I126" s="18">
        <f t="shared" si="1"/>
        <v>111000</v>
      </c>
      <c r="J126" s="18">
        <f t="shared" si="1"/>
        <v>111000</v>
      </c>
      <c r="K126" s="18">
        <f t="shared" si="1"/>
        <v>111000</v>
      </c>
      <c r="L126" s="18">
        <f t="shared" si="1"/>
        <v>111000</v>
      </c>
      <c r="M126" s="26">
        <f t="shared" si="1"/>
        <v>111000</v>
      </c>
    </row>
    <row r="127" spans="1:13" s="3" customFormat="1" ht="12.75">
      <c r="A127" s="2"/>
      <c r="B127" s="29"/>
      <c r="C127" s="38" t="s">
        <v>123</v>
      </c>
      <c r="D127" s="18">
        <f>D20</f>
        <v>300000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6">
        <v>0</v>
      </c>
    </row>
    <row r="128" spans="1:13" s="3" customFormat="1" ht="12.75">
      <c r="A128" s="2"/>
      <c r="B128" s="29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26"/>
    </row>
    <row r="129" spans="1:13" s="3" customFormat="1" ht="12.75">
      <c r="A129" s="2"/>
      <c r="B129" s="61" t="s">
        <v>41</v>
      </c>
      <c r="C129" s="47" t="s">
        <v>112</v>
      </c>
      <c r="D129" s="71">
        <f>SUM(D130:D133)</f>
        <v>-410000</v>
      </c>
      <c r="E129" s="71">
        <f aca="true" t="shared" si="2" ref="E129:M129">SUM(E130:E133)</f>
        <v>-110000</v>
      </c>
      <c r="F129" s="71">
        <f t="shared" si="2"/>
        <v>-110000</v>
      </c>
      <c r="G129" s="71">
        <f t="shared" si="2"/>
        <v>-110000</v>
      </c>
      <c r="H129" s="71">
        <f t="shared" si="2"/>
        <v>-110000</v>
      </c>
      <c r="I129" s="71">
        <f t="shared" si="2"/>
        <v>-110000</v>
      </c>
      <c r="J129" s="71">
        <f t="shared" si="2"/>
        <v>-110000</v>
      </c>
      <c r="K129" s="71">
        <f t="shared" si="2"/>
        <v>-110000</v>
      </c>
      <c r="L129" s="71">
        <f t="shared" si="2"/>
        <v>-110000</v>
      </c>
      <c r="M129" s="44">
        <f t="shared" si="2"/>
        <v>-110000</v>
      </c>
    </row>
    <row r="130" spans="1:13" s="3" customFormat="1" ht="12.75">
      <c r="A130" s="2"/>
      <c r="B130" s="29"/>
      <c r="C130" s="38" t="s">
        <v>129</v>
      </c>
      <c r="D130" s="18">
        <f>-(D36-D37-D69-D70)</f>
        <v>-72000</v>
      </c>
      <c r="E130" s="18">
        <f aca="true" t="shared" si="3" ref="E130:M130">D130</f>
        <v>-72000</v>
      </c>
      <c r="F130" s="18">
        <f t="shared" si="3"/>
        <v>-72000</v>
      </c>
      <c r="G130" s="18">
        <f t="shared" si="3"/>
        <v>-72000</v>
      </c>
      <c r="H130" s="18">
        <f t="shared" si="3"/>
        <v>-72000</v>
      </c>
      <c r="I130" s="18">
        <f t="shared" si="3"/>
        <v>-72000</v>
      </c>
      <c r="J130" s="18">
        <f t="shared" si="3"/>
        <v>-72000</v>
      </c>
      <c r="K130" s="18">
        <f t="shared" si="3"/>
        <v>-72000</v>
      </c>
      <c r="L130" s="18">
        <f t="shared" si="3"/>
        <v>-72000</v>
      </c>
      <c r="M130" s="26">
        <f t="shared" si="3"/>
        <v>-72000</v>
      </c>
    </row>
    <row r="131" spans="1:13" s="3" customFormat="1" ht="12.75">
      <c r="A131" s="2"/>
      <c r="B131" s="29"/>
      <c r="C131" s="38" t="s">
        <v>3</v>
      </c>
      <c r="D131" s="18">
        <f>-(D47)</f>
        <v>-8000</v>
      </c>
      <c r="E131" s="18">
        <f>D131</f>
        <v>-8000</v>
      </c>
      <c r="F131" s="18">
        <f aca="true" t="shared" si="4" ref="F131:M132">E131</f>
        <v>-8000</v>
      </c>
      <c r="G131" s="18">
        <f t="shared" si="4"/>
        <v>-8000</v>
      </c>
      <c r="H131" s="18">
        <f t="shared" si="4"/>
        <v>-8000</v>
      </c>
      <c r="I131" s="18">
        <f t="shared" si="4"/>
        <v>-8000</v>
      </c>
      <c r="J131" s="18">
        <f t="shared" si="4"/>
        <v>-8000</v>
      </c>
      <c r="K131" s="18">
        <f t="shared" si="4"/>
        <v>-8000</v>
      </c>
      <c r="L131" s="18">
        <f t="shared" si="4"/>
        <v>-8000</v>
      </c>
      <c r="M131" s="26">
        <f t="shared" si="4"/>
        <v>-8000</v>
      </c>
    </row>
    <row r="132" spans="1:13" s="3" customFormat="1" ht="12.75">
      <c r="A132" s="2"/>
      <c r="B132" s="29"/>
      <c r="C132" s="38" t="s">
        <v>133</v>
      </c>
      <c r="D132" s="18">
        <f>-D20/10</f>
        <v>-30000</v>
      </c>
      <c r="E132" s="18">
        <f>D132</f>
        <v>-30000</v>
      </c>
      <c r="F132" s="18">
        <f t="shared" si="4"/>
        <v>-30000</v>
      </c>
      <c r="G132" s="18">
        <f t="shared" si="4"/>
        <v>-30000</v>
      </c>
      <c r="H132" s="18">
        <f t="shared" si="4"/>
        <v>-30000</v>
      </c>
      <c r="I132" s="18">
        <f t="shared" si="4"/>
        <v>-30000</v>
      </c>
      <c r="J132" s="18">
        <f t="shared" si="4"/>
        <v>-30000</v>
      </c>
      <c r="K132" s="18">
        <f t="shared" si="4"/>
        <v>-30000</v>
      </c>
      <c r="L132" s="18">
        <f t="shared" si="4"/>
        <v>-30000</v>
      </c>
      <c r="M132" s="26">
        <f t="shared" si="4"/>
        <v>-30000</v>
      </c>
    </row>
    <row r="133" spans="1:13" s="3" customFormat="1" ht="12.75">
      <c r="A133" s="2"/>
      <c r="B133" s="29"/>
      <c r="C133" s="38" t="s">
        <v>134</v>
      </c>
      <c r="D133" s="18">
        <f>-D127</f>
        <v>-300000</v>
      </c>
      <c r="E133" s="18"/>
      <c r="F133" s="18"/>
      <c r="G133" s="18"/>
      <c r="H133" s="18"/>
      <c r="I133" s="18"/>
      <c r="J133" s="18"/>
      <c r="K133" s="18"/>
      <c r="L133" s="18"/>
      <c r="M133" s="26"/>
    </row>
    <row r="134" spans="1:13" s="3" customFormat="1" ht="12.75">
      <c r="A134" s="2"/>
      <c r="B134" s="29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26"/>
    </row>
    <row r="135" spans="1:13" s="3" customFormat="1" ht="12.75">
      <c r="A135" s="2"/>
      <c r="B135" s="74" t="s">
        <v>42</v>
      </c>
      <c r="C135" s="50" t="s">
        <v>141</v>
      </c>
      <c r="D135" s="75">
        <f aca="true" t="shared" si="5" ref="D135:M135">D120+D125+D129</f>
        <v>-2499000</v>
      </c>
      <c r="E135" s="75">
        <f t="shared" si="5"/>
        <v>1000</v>
      </c>
      <c r="F135" s="75">
        <f t="shared" si="5"/>
        <v>1000</v>
      </c>
      <c r="G135" s="75">
        <f t="shared" si="5"/>
        <v>1000</v>
      </c>
      <c r="H135" s="75">
        <f t="shared" si="5"/>
        <v>1000</v>
      </c>
      <c r="I135" s="75">
        <f t="shared" si="5"/>
        <v>1000</v>
      </c>
      <c r="J135" s="75">
        <f t="shared" si="5"/>
        <v>1000</v>
      </c>
      <c r="K135" s="75">
        <f t="shared" si="5"/>
        <v>1000</v>
      </c>
      <c r="L135" s="75">
        <f t="shared" si="5"/>
        <v>1000</v>
      </c>
      <c r="M135" s="46">
        <f t="shared" si="5"/>
        <v>1000</v>
      </c>
    </row>
    <row r="136" ht="12.75"/>
    <row r="137" spans="2:4" ht="15">
      <c r="B137" s="11" t="s">
        <v>43</v>
      </c>
      <c r="C137" s="12" t="s">
        <v>140</v>
      </c>
      <c r="D137" s="19">
        <f>IRR(D135:M135,-90%)</f>
        <v>-0.5521916986124038</v>
      </c>
    </row>
    <row r="138" ht="12.75"/>
    <row r="139" spans="2:4" ht="15">
      <c r="B139" s="11"/>
      <c r="C139" s="12"/>
      <c r="D139" s="20" t="str">
        <f>IF(D137&lt;=5.03%,"Wniosek: Rekompensata nie jest nadmierna","Wniosek: Rekompensata jest nadmierna")</f>
        <v>Wniosek: Rekompensata nie jest nadmierna</v>
      </c>
    </row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</sheetData>
  <sheetProtection/>
  <printOptions/>
  <pageMargins left="0.35433070866141736" right="0.2755905511811024" top="0.7480314960629921" bottom="0.7480314960629921" header="0.31496062992125984" footer="0.31496062992125984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0:N192"/>
  <sheetViews>
    <sheetView showGridLines="0" zoomScalePageLayoutView="0" workbookViewId="0" topLeftCell="A51">
      <selection activeCell="A45" sqref="A45:D75"/>
    </sheetView>
  </sheetViews>
  <sheetFormatPr defaultColWidth="0" defaultRowHeight="12.75" zeroHeight="1"/>
  <cols>
    <col min="1" max="1" width="3.421875" style="2" customWidth="1"/>
    <col min="2" max="2" width="2.421875" style="4" customWidth="1"/>
    <col min="3" max="3" width="83.140625" style="2" bestFit="1" customWidth="1"/>
    <col min="4" max="4" width="17.57421875" style="3" customWidth="1"/>
    <col min="5" max="13" width="12.7109375" style="3" customWidth="1"/>
    <col min="14" max="14" width="3.8515625" style="3" customWidth="1"/>
    <col min="15" max="16384" width="9.140625" style="2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2:4" ht="18.75">
      <c r="B10" s="77" t="s">
        <v>146</v>
      </c>
      <c r="C10" s="78"/>
      <c r="D10" s="79"/>
    </row>
    <row r="11" ht="12.75"/>
    <row r="12" ht="12.75"/>
    <row r="13" spans="2:14" ht="15.75">
      <c r="B13" s="15" t="s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>
      <c r="B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34.5" customHeight="1">
      <c r="B15" s="21"/>
      <c r="C15" s="22"/>
      <c r="D15" s="124" t="s">
        <v>97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23" t="s">
        <v>39</v>
      </c>
      <c r="C16" s="24" t="s">
        <v>113</v>
      </c>
      <c r="D16" s="26">
        <v>75000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23"/>
      <c r="C17" s="25" t="s">
        <v>110</v>
      </c>
      <c r="D17" s="26">
        <v>200000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2.75">
      <c r="B18" s="23" t="s">
        <v>91</v>
      </c>
      <c r="C18" s="24" t="s">
        <v>107</v>
      </c>
      <c r="D18" s="26">
        <v>50000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 s="23" t="s">
        <v>92</v>
      </c>
      <c r="C19" s="24" t="s">
        <v>103</v>
      </c>
      <c r="D19" s="51">
        <v>250000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98" t="s">
        <v>101</v>
      </c>
      <c r="C20" s="81" t="s">
        <v>163</v>
      </c>
      <c r="D20" s="80">
        <v>100000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99"/>
      <c r="C21" s="100" t="s">
        <v>27</v>
      </c>
      <c r="D21" s="39"/>
      <c r="N21" s="2"/>
    </row>
    <row r="22" spans="2:14" ht="12.75">
      <c r="B22" s="99"/>
      <c r="C22" s="101" t="s">
        <v>24</v>
      </c>
      <c r="D22" s="39">
        <v>50000</v>
      </c>
      <c r="N22" s="2"/>
    </row>
    <row r="23" spans="2:14" ht="12.75">
      <c r="B23" s="99"/>
      <c r="C23" s="101" t="s">
        <v>175</v>
      </c>
      <c r="D23" s="39">
        <v>50000</v>
      </c>
      <c r="N23" s="2"/>
    </row>
    <row r="24" spans="2:14" ht="12.75">
      <c r="B24" s="99"/>
      <c r="C24" s="100" t="s">
        <v>26</v>
      </c>
      <c r="D24" s="39"/>
      <c r="N24" s="2"/>
    </row>
    <row r="25" spans="2:14" ht="12.75">
      <c r="B25" s="99"/>
      <c r="C25" s="101" t="s">
        <v>24</v>
      </c>
      <c r="D25" s="39">
        <v>50000</v>
      </c>
      <c r="N25" s="2"/>
    </row>
    <row r="26" spans="2:14" ht="12.75">
      <c r="B26" s="99"/>
      <c r="C26" s="101" t="s">
        <v>174</v>
      </c>
      <c r="D26" s="39">
        <v>30000</v>
      </c>
      <c r="N26" s="2"/>
    </row>
    <row r="27" spans="2:14" ht="12.75">
      <c r="B27" s="98" t="s">
        <v>102</v>
      </c>
      <c r="C27" s="81" t="s">
        <v>143</v>
      </c>
      <c r="D27" s="80">
        <v>150000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99"/>
      <c r="C28" s="100" t="s">
        <v>154</v>
      </c>
      <c r="D28" s="39"/>
      <c r="N28" s="2"/>
    </row>
    <row r="29" spans="2:14" ht="12.75">
      <c r="B29" s="34"/>
      <c r="C29" s="54" t="s">
        <v>25</v>
      </c>
      <c r="D29" s="26">
        <v>100000</v>
      </c>
      <c r="N29" s="2"/>
    </row>
    <row r="30" spans="2:14" ht="12.75">
      <c r="B30" s="34"/>
      <c r="C30" s="54" t="s">
        <v>174</v>
      </c>
      <c r="D30" s="26">
        <v>100000</v>
      </c>
      <c r="N30" s="2"/>
    </row>
    <row r="31" spans="2:14" ht="12.75">
      <c r="B31" s="34"/>
      <c r="C31" s="52" t="s">
        <v>155</v>
      </c>
      <c r="D31" s="26"/>
      <c r="N31" s="2"/>
    </row>
    <row r="32" spans="2:14" ht="12.75">
      <c r="B32" s="34"/>
      <c r="C32" s="54" t="s">
        <v>25</v>
      </c>
      <c r="D32" s="26">
        <v>50000</v>
      </c>
      <c r="N32" s="2"/>
    </row>
    <row r="33" spans="2:14" ht="12.75">
      <c r="B33" s="34"/>
      <c r="C33" s="54" t="s">
        <v>174</v>
      </c>
      <c r="D33" s="26">
        <v>40000</v>
      </c>
      <c r="N33" s="2"/>
    </row>
    <row r="34" spans="2:14" ht="25.5">
      <c r="B34" s="23" t="s">
        <v>42</v>
      </c>
      <c r="C34" s="24" t="s">
        <v>148</v>
      </c>
      <c r="D34" s="26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3" t="s">
        <v>43</v>
      </c>
      <c r="C35" s="27" t="s">
        <v>149</v>
      </c>
      <c r="D35" s="26">
        <v>1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85" t="s">
        <v>58</v>
      </c>
      <c r="C36" s="86" t="s">
        <v>98</v>
      </c>
      <c r="D36" s="87">
        <v>500000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88"/>
      <c r="C37" s="86" t="s">
        <v>99</v>
      </c>
      <c r="D37" s="87">
        <v>15000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9" t="s">
        <v>61</v>
      </c>
      <c r="C38" s="24" t="s">
        <v>136</v>
      </c>
      <c r="D38" s="26">
        <v>300000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8"/>
      <c r="C39" s="25" t="s">
        <v>100</v>
      </c>
      <c r="D39" s="26">
        <v>8000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30" t="s">
        <v>130</v>
      </c>
      <c r="C40" s="31" t="s">
        <v>137</v>
      </c>
      <c r="D40" s="26">
        <v>100000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8"/>
      <c r="C41" s="25" t="s">
        <v>138</v>
      </c>
      <c r="D41" s="26">
        <v>5000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32" t="s">
        <v>139</v>
      </c>
      <c r="C42" s="76" t="s">
        <v>172</v>
      </c>
      <c r="D42" s="60">
        <v>2000000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4" t="s">
        <v>173</v>
      </c>
      <c r="C43" s="14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2.75">
      <c r="C44" s="14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5.75">
      <c r="B45" s="15" t="s">
        <v>1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1"/>
      <c r="C47" s="22"/>
      <c r="D47" s="33" t="s">
        <v>5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4" ht="12.75">
      <c r="B48" s="34" t="s">
        <v>46</v>
      </c>
      <c r="C48" s="35" t="s">
        <v>15</v>
      </c>
      <c r="D48" s="36">
        <f>SUM(D49:D55)</f>
        <v>125000</v>
      </c>
    </row>
    <row r="49" spans="2:4" ht="12.75">
      <c r="B49" s="37" t="s">
        <v>39</v>
      </c>
      <c r="C49" s="38" t="s">
        <v>12</v>
      </c>
      <c r="D49" s="26">
        <v>30000</v>
      </c>
    </row>
    <row r="50" spans="2:4" ht="12.75">
      <c r="B50" s="37" t="s">
        <v>40</v>
      </c>
      <c r="C50" s="38" t="s">
        <v>13</v>
      </c>
      <c r="D50" s="26">
        <v>4000</v>
      </c>
    </row>
    <row r="51" spans="2:4" ht="12.75">
      <c r="B51" s="37" t="s">
        <v>41</v>
      </c>
      <c r="C51" s="38" t="s">
        <v>14</v>
      </c>
      <c r="D51" s="26">
        <v>1000</v>
      </c>
    </row>
    <row r="52" spans="2:4" ht="12.75">
      <c r="B52" s="37" t="s">
        <v>42</v>
      </c>
      <c r="C52" s="38" t="s">
        <v>11</v>
      </c>
      <c r="D52" s="26">
        <v>10000</v>
      </c>
    </row>
    <row r="53" spans="2:4" ht="12.75">
      <c r="B53" s="37" t="s">
        <v>43</v>
      </c>
      <c r="C53" s="38" t="s">
        <v>67</v>
      </c>
      <c r="D53" s="26">
        <v>5000</v>
      </c>
    </row>
    <row r="54" spans="1:5" ht="12.75">
      <c r="A54" s="17"/>
      <c r="B54" s="37" t="s">
        <v>58</v>
      </c>
      <c r="C54" s="7" t="s">
        <v>22</v>
      </c>
      <c r="D54" s="39">
        <v>75000</v>
      </c>
      <c r="E54" s="18"/>
    </row>
    <row r="55" spans="2:4" ht="25.5">
      <c r="B55" s="82" t="s">
        <v>61</v>
      </c>
      <c r="C55" s="81" t="s">
        <v>145</v>
      </c>
      <c r="D55" s="80">
        <v>0</v>
      </c>
    </row>
    <row r="56" spans="2:4" ht="12.75">
      <c r="B56" s="34" t="s">
        <v>47</v>
      </c>
      <c r="C56" s="35" t="s">
        <v>17</v>
      </c>
      <c r="D56" s="36">
        <v>100000</v>
      </c>
    </row>
    <row r="57" spans="1:4" ht="12.75">
      <c r="A57" s="6"/>
      <c r="B57" s="37" t="s">
        <v>39</v>
      </c>
      <c r="C57" s="40" t="s">
        <v>18</v>
      </c>
      <c r="D57" s="26">
        <v>25000</v>
      </c>
    </row>
    <row r="58" spans="1:4" ht="12.75">
      <c r="A58" s="6"/>
      <c r="B58" s="37" t="s">
        <v>64</v>
      </c>
      <c r="C58" s="125" t="s">
        <v>229</v>
      </c>
      <c r="D58" s="26">
        <v>15000</v>
      </c>
    </row>
    <row r="59" spans="2:4" ht="12.75">
      <c r="B59" s="42" t="s">
        <v>48</v>
      </c>
      <c r="C59" s="43" t="s">
        <v>16</v>
      </c>
      <c r="D59" s="44">
        <f>D48-D56</f>
        <v>25000</v>
      </c>
    </row>
    <row r="60" spans="2:4" ht="12.75">
      <c r="B60" s="34"/>
      <c r="C60" s="17"/>
      <c r="D60" s="26"/>
    </row>
    <row r="61" spans="2:4" ht="12.75">
      <c r="B61" s="34" t="s">
        <v>49</v>
      </c>
      <c r="C61" s="35" t="s">
        <v>20</v>
      </c>
      <c r="D61" s="36">
        <v>10000</v>
      </c>
    </row>
    <row r="62" spans="2:4" ht="12.75">
      <c r="B62" s="34" t="s">
        <v>50</v>
      </c>
      <c r="C62" s="35" t="s">
        <v>21</v>
      </c>
      <c r="D62" s="36">
        <v>8500</v>
      </c>
    </row>
    <row r="63" spans="2:4" ht="12.75">
      <c r="B63" s="42" t="s">
        <v>51</v>
      </c>
      <c r="C63" s="43" t="s">
        <v>6</v>
      </c>
      <c r="D63" s="44">
        <f>D61-D62+D59</f>
        <v>26500</v>
      </c>
    </row>
    <row r="64" spans="2:4" ht="12.75">
      <c r="B64" s="34"/>
      <c r="C64" s="17"/>
      <c r="D64" s="26"/>
    </row>
    <row r="65" spans="2:4" ht="12.75">
      <c r="B65" s="34" t="s">
        <v>52</v>
      </c>
      <c r="C65" s="35" t="s">
        <v>36</v>
      </c>
      <c r="D65" s="36">
        <f>1000</f>
        <v>1000</v>
      </c>
    </row>
    <row r="66" spans="2:4" ht="12.75">
      <c r="B66" s="34" t="s">
        <v>53</v>
      </c>
      <c r="C66" s="35" t="s">
        <v>33</v>
      </c>
      <c r="D66" s="36">
        <f>SUM(D67:D69)</f>
        <v>15000</v>
      </c>
    </row>
    <row r="67" spans="2:4" ht="12.75">
      <c r="B67" s="37" t="s">
        <v>39</v>
      </c>
      <c r="C67" s="40" t="s">
        <v>34</v>
      </c>
      <c r="D67" s="26">
        <v>8000</v>
      </c>
    </row>
    <row r="68" spans="2:4" ht="12.75">
      <c r="B68" s="37" t="s">
        <v>40</v>
      </c>
      <c r="C68" s="40" t="s">
        <v>135</v>
      </c>
      <c r="D68" s="26">
        <v>5000</v>
      </c>
    </row>
    <row r="69" spans="2:4" ht="12.75">
      <c r="B69" s="37" t="s">
        <v>41</v>
      </c>
      <c r="C69" s="40" t="s">
        <v>35</v>
      </c>
      <c r="D69" s="26">
        <v>2000</v>
      </c>
    </row>
    <row r="70" spans="2:4" ht="12.75">
      <c r="B70" s="42" t="s">
        <v>54</v>
      </c>
      <c r="C70" s="43" t="s">
        <v>7</v>
      </c>
      <c r="D70" s="44">
        <f>D65-D66+D63</f>
        <v>12500</v>
      </c>
    </row>
    <row r="71" spans="2:4" ht="12.75">
      <c r="B71" s="34"/>
      <c r="C71" s="17"/>
      <c r="D71" s="26"/>
    </row>
    <row r="72" spans="2:4" ht="12.75">
      <c r="B72" s="42" t="s">
        <v>55</v>
      </c>
      <c r="C72" s="47" t="s">
        <v>8</v>
      </c>
      <c r="D72" s="44">
        <f>D70</f>
        <v>12500</v>
      </c>
    </row>
    <row r="73" spans="2:4" ht="12.75">
      <c r="B73" s="34"/>
      <c r="C73" s="48" t="s">
        <v>105</v>
      </c>
      <c r="D73" s="49">
        <f>D72+D58</f>
        <v>27500</v>
      </c>
    </row>
    <row r="74" spans="2:4" ht="12.75">
      <c r="B74" s="34" t="s">
        <v>56</v>
      </c>
      <c r="C74" s="40" t="s">
        <v>4</v>
      </c>
      <c r="D74" s="26">
        <f>ROUND(IF(D73&gt;0,0.19*D72,0),0)</f>
        <v>2375</v>
      </c>
    </row>
    <row r="75" spans="2:4" ht="12.75">
      <c r="B75" s="45" t="s">
        <v>57</v>
      </c>
      <c r="C75" s="50" t="s">
        <v>9</v>
      </c>
      <c r="D75" s="46">
        <f>D72-D74</f>
        <v>10125</v>
      </c>
    </row>
    <row r="76" ht="12.75">
      <c r="B76" s="8"/>
    </row>
    <row r="77" ht="12.75">
      <c r="B77" s="8"/>
    </row>
    <row r="78" ht="12.75">
      <c r="B78" s="8"/>
    </row>
    <row r="79" ht="15.75">
      <c r="B79" s="15" t="s">
        <v>90</v>
      </c>
    </row>
    <row r="80" ht="12.75">
      <c r="B80" s="2"/>
    </row>
    <row r="81" spans="2:4" ht="12.75">
      <c r="B81" s="21"/>
      <c r="C81" s="22"/>
      <c r="D81" s="33" t="s">
        <v>5</v>
      </c>
    </row>
    <row r="82" spans="2:4" ht="12.75">
      <c r="B82" s="42" t="s">
        <v>39</v>
      </c>
      <c r="C82" s="47" t="s">
        <v>37</v>
      </c>
      <c r="D82" s="44">
        <f>SUM(D84,D87,D90,D93)</f>
        <v>250000</v>
      </c>
    </row>
    <row r="83" spans="2:4" ht="12.75">
      <c r="B83" s="34"/>
      <c r="C83" s="52" t="s">
        <v>27</v>
      </c>
      <c r="D83" s="53"/>
    </row>
    <row r="84" spans="2:4" ht="12.75">
      <c r="B84" s="34"/>
      <c r="C84" s="54" t="s">
        <v>24</v>
      </c>
      <c r="D84" s="26">
        <v>50000</v>
      </c>
    </row>
    <row r="85" spans="2:4" ht="12.75">
      <c r="B85" s="34"/>
      <c r="C85" s="54" t="s">
        <v>176</v>
      </c>
      <c r="D85" s="26">
        <v>50000</v>
      </c>
    </row>
    <row r="86" spans="2:4" ht="12.75">
      <c r="B86" s="34"/>
      <c r="C86" s="52" t="s">
        <v>26</v>
      </c>
      <c r="D86" s="53"/>
    </row>
    <row r="87" spans="2:4" ht="12.75">
      <c r="B87" s="34"/>
      <c r="C87" s="54" t="s">
        <v>24</v>
      </c>
      <c r="D87" s="26">
        <v>50000</v>
      </c>
    </row>
    <row r="88" spans="2:4" ht="12.75">
      <c r="B88" s="34"/>
      <c r="C88" s="54" t="s">
        <v>176</v>
      </c>
      <c r="D88" s="26">
        <v>30000</v>
      </c>
    </row>
    <row r="89" spans="2:4" ht="12.75">
      <c r="B89" s="34"/>
      <c r="C89" s="52" t="s">
        <v>28</v>
      </c>
      <c r="D89" s="55"/>
    </row>
    <row r="90" spans="2:4" ht="12.75">
      <c r="B90" s="34"/>
      <c r="C90" s="54" t="s">
        <v>25</v>
      </c>
      <c r="D90" s="26">
        <v>100000</v>
      </c>
    </row>
    <row r="91" spans="2:4" ht="12.75">
      <c r="B91" s="34"/>
      <c r="C91" s="54" t="s">
        <v>176</v>
      </c>
      <c r="D91" s="26">
        <v>100000</v>
      </c>
    </row>
    <row r="92" spans="2:4" ht="12.75">
      <c r="B92" s="34"/>
      <c r="C92" s="52" t="s">
        <v>29</v>
      </c>
      <c r="D92" s="26"/>
    </row>
    <row r="93" spans="2:4" ht="12.75">
      <c r="B93" s="34"/>
      <c r="C93" s="54" t="s">
        <v>25</v>
      </c>
      <c r="D93" s="26">
        <v>50000</v>
      </c>
    </row>
    <row r="94" spans="2:4" ht="12.75">
      <c r="B94" s="34"/>
      <c r="C94" s="54" t="s">
        <v>176</v>
      </c>
      <c r="D94" s="26">
        <v>40000</v>
      </c>
    </row>
    <row r="95" spans="2:4" ht="12.75">
      <c r="B95" s="34"/>
      <c r="C95" s="56"/>
      <c r="D95" s="26"/>
    </row>
    <row r="96" spans="2:4" ht="12.75">
      <c r="B96" s="42" t="s">
        <v>40</v>
      </c>
      <c r="C96" s="47" t="s">
        <v>10</v>
      </c>
      <c r="D96" s="44">
        <v>50000</v>
      </c>
    </row>
    <row r="97" spans="2:4" ht="12.75">
      <c r="B97" s="34"/>
      <c r="C97" s="56"/>
      <c r="D97" s="26"/>
    </row>
    <row r="98" spans="2:4" ht="12.75">
      <c r="B98" s="42" t="s">
        <v>41</v>
      </c>
      <c r="C98" s="47" t="s">
        <v>38</v>
      </c>
      <c r="D98" s="57"/>
    </row>
    <row r="99" spans="2:4" ht="12.75">
      <c r="B99" s="34"/>
      <c r="C99" s="38" t="s">
        <v>31</v>
      </c>
      <c r="D99" s="26">
        <v>0</v>
      </c>
    </row>
    <row r="100" spans="2:4" ht="12.75">
      <c r="B100" s="34"/>
      <c r="C100" s="38" t="s">
        <v>30</v>
      </c>
      <c r="D100" s="26">
        <v>20000</v>
      </c>
    </row>
    <row r="101" spans="2:4" ht="12.75">
      <c r="B101" s="34"/>
      <c r="C101" s="17"/>
      <c r="D101" s="53"/>
    </row>
    <row r="102" spans="2:4" ht="12.75">
      <c r="B102" s="42" t="s">
        <v>42</v>
      </c>
      <c r="C102" s="47" t="s">
        <v>23</v>
      </c>
      <c r="D102" s="57"/>
    </row>
    <row r="103" spans="2:4" ht="12.75">
      <c r="B103" s="34"/>
      <c r="C103" s="38" t="s">
        <v>31</v>
      </c>
      <c r="D103" s="26">
        <v>1</v>
      </c>
    </row>
    <row r="104" spans="2:4" ht="12.75">
      <c r="B104" s="34"/>
      <c r="C104" s="38" t="s">
        <v>32</v>
      </c>
      <c r="D104" s="26">
        <v>50000</v>
      </c>
    </row>
    <row r="105" spans="2:4" ht="12.75">
      <c r="B105" s="34"/>
      <c r="C105" s="17"/>
      <c r="D105" s="26"/>
    </row>
    <row r="106" spans="2:4" ht="12.75">
      <c r="B106" s="42" t="s">
        <v>43</v>
      </c>
      <c r="C106" s="47" t="s">
        <v>60</v>
      </c>
      <c r="D106" s="57"/>
    </row>
    <row r="107" spans="2:4" ht="12.75">
      <c r="B107" s="34"/>
      <c r="C107" s="38" t="s">
        <v>44</v>
      </c>
      <c r="D107" s="26">
        <f>D67</f>
        <v>8000</v>
      </c>
    </row>
    <row r="108" spans="2:4" ht="12.75">
      <c r="B108" s="34"/>
      <c r="C108" s="38" t="s">
        <v>45</v>
      </c>
      <c r="D108" s="26">
        <v>10000</v>
      </c>
    </row>
    <row r="109" spans="2:4" ht="12.75">
      <c r="B109" s="34"/>
      <c r="C109" s="17"/>
      <c r="D109" s="26"/>
    </row>
    <row r="110" spans="2:4" ht="12.75">
      <c r="B110" s="42" t="s">
        <v>58</v>
      </c>
      <c r="C110" s="47" t="s">
        <v>59</v>
      </c>
      <c r="D110" s="44">
        <f>D37</f>
        <v>15000</v>
      </c>
    </row>
    <row r="111" spans="2:4" ht="12.75">
      <c r="B111" s="34"/>
      <c r="C111" s="17"/>
      <c r="D111" s="26"/>
    </row>
    <row r="112" spans="2:4" ht="12.75">
      <c r="B112" s="42" t="s">
        <v>61</v>
      </c>
      <c r="C112" s="47" t="s">
        <v>68</v>
      </c>
      <c r="D112" s="44">
        <f>SUM(D116,D113:D114)</f>
        <v>5000</v>
      </c>
    </row>
    <row r="113" spans="2:4" ht="12.75">
      <c r="B113" s="34"/>
      <c r="C113" s="38" t="s">
        <v>63</v>
      </c>
      <c r="D113" s="26">
        <v>1900</v>
      </c>
    </row>
    <row r="114" spans="2:4" ht="12.75">
      <c r="B114" s="34"/>
      <c r="C114" s="38" t="s">
        <v>132</v>
      </c>
      <c r="D114" s="26">
        <v>1100</v>
      </c>
    </row>
    <row r="115" spans="2:4" ht="12.75">
      <c r="B115" s="34"/>
      <c r="C115" s="56" t="s">
        <v>131</v>
      </c>
      <c r="D115" s="26">
        <v>100</v>
      </c>
    </row>
    <row r="116" spans="2:4" ht="12.75">
      <c r="B116" s="34"/>
      <c r="C116" s="38" t="s">
        <v>62</v>
      </c>
      <c r="D116" s="26">
        <f>D69</f>
        <v>2000</v>
      </c>
    </row>
    <row r="117" spans="2:4" ht="12.75">
      <c r="B117" s="29"/>
      <c r="C117" s="17"/>
      <c r="D117" s="26"/>
    </row>
    <row r="118" spans="2:4" ht="25.5">
      <c r="B118" s="84" t="s">
        <v>61</v>
      </c>
      <c r="C118" s="83" t="s">
        <v>147</v>
      </c>
      <c r="D118" s="44"/>
    </row>
    <row r="119" spans="2:4" ht="12.75">
      <c r="B119" s="34"/>
      <c r="C119" s="38" t="s">
        <v>150</v>
      </c>
      <c r="D119" s="26">
        <f>D100+D104+D108-D107-D103</f>
        <v>71999</v>
      </c>
    </row>
    <row r="120" spans="2:4" ht="12.75">
      <c r="B120" s="58"/>
      <c r="C120" s="59" t="s">
        <v>151</v>
      </c>
      <c r="D120" s="60">
        <f>ROUND(0.19*D119,0)</f>
        <v>13680</v>
      </c>
    </row>
    <row r="121" ht="12.75">
      <c r="B121" s="4" t="s">
        <v>173</v>
      </c>
    </row>
    <row r="122" ht="12.75"/>
    <row r="123" ht="15.75">
      <c r="B123" s="15" t="s">
        <v>65</v>
      </c>
    </row>
    <row r="124" ht="12.75">
      <c r="B124" s="2"/>
    </row>
    <row r="125" spans="2:4" ht="12.75">
      <c r="B125" s="21"/>
      <c r="C125" s="22"/>
      <c r="D125" s="33" t="s">
        <v>5</v>
      </c>
    </row>
    <row r="126" spans="2:4" ht="12.75">
      <c r="B126" s="61" t="s">
        <v>39</v>
      </c>
      <c r="C126" s="47" t="s">
        <v>66</v>
      </c>
      <c r="D126" s="44">
        <f>SUM(D127:D130)</f>
        <v>95000</v>
      </c>
    </row>
    <row r="127" spans="2:4" ht="12.75">
      <c r="B127" s="29"/>
      <c r="C127" s="62" t="s">
        <v>70</v>
      </c>
      <c r="D127" s="26">
        <f>D56</f>
        <v>100000</v>
      </c>
    </row>
    <row r="128" spans="2:4" ht="12.75">
      <c r="B128" s="29"/>
      <c r="C128" s="62" t="s">
        <v>71</v>
      </c>
      <c r="D128" s="26">
        <f>D66</f>
        <v>15000</v>
      </c>
    </row>
    <row r="129" spans="2:4" ht="12.75">
      <c r="B129" s="29"/>
      <c r="C129" s="63" t="s">
        <v>72</v>
      </c>
      <c r="D129" s="26">
        <f>-D58</f>
        <v>-15000</v>
      </c>
    </row>
    <row r="130" spans="2:4" ht="12.75">
      <c r="B130" s="29"/>
      <c r="C130" s="62" t="s">
        <v>77</v>
      </c>
      <c r="D130" s="26">
        <f>-D112</f>
        <v>-5000</v>
      </c>
    </row>
    <row r="131" spans="2:4" ht="12.75">
      <c r="B131" s="29"/>
      <c r="C131" s="17"/>
      <c r="D131" s="26"/>
    </row>
    <row r="132" spans="2:4" ht="12.75">
      <c r="B132" s="61" t="s">
        <v>40</v>
      </c>
      <c r="C132" s="47" t="s">
        <v>69</v>
      </c>
      <c r="D132" s="44">
        <f>SUM(D133:D138)</f>
        <v>-51000</v>
      </c>
    </row>
    <row r="133" spans="2:4" ht="12.75">
      <c r="B133" s="29"/>
      <c r="C133" s="62" t="s">
        <v>73</v>
      </c>
      <c r="D133" s="26">
        <f>-D49</f>
        <v>-30000</v>
      </c>
    </row>
    <row r="134" spans="2:4" ht="12.75">
      <c r="B134" s="29"/>
      <c r="C134" s="62" t="s">
        <v>74</v>
      </c>
      <c r="D134" s="26">
        <f>-D50</f>
        <v>-4000</v>
      </c>
    </row>
    <row r="135" spans="2:4" ht="12.75">
      <c r="B135" s="29"/>
      <c r="C135" s="62" t="s">
        <v>75</v>
      </c>
      <c r="D135" s="26">
        <f>-D51</f>
        <v>-1000</v>
      </c>
    </row>
    <row r="136" spans="2:4" ht="12.75">
      <c r="B136" s="29"/>
      <c r="C136" s="62" t="s">
        <v>76</v>
      </c>
      <c r="D136" s="26">
        <f>-D52</f>
        <v>-10000</v>
      </c>
    </row>
    <row r="137" spans="2:4" ht="25.5">
      <c r="B137" s="29"/>
      <c r="C137" s="63" t="s">
        <v>94</v>
      </c>
      <c r="D137" s="26">
        <f>-D53</f>
        <v>-5000</v>
      </c>
    </row>
    <row r="138" spans="2:4" ht="12.75">
      <c r="B138" s="29"/>
      <c r="C138" s="17" t="s">
        <v>93</v>
      </c>
      <c r="D138" s="26">
        <f>-D65</f>
        <v>-1000</v>
      </c>
    </row>
    <row r="139" spans="2:4" ht="12.75">
      <c r="B139" s="29"/>
      <c r="C139" s="17"/>
      <c r="D139" s="26"/>
    </row>
    <row r="140" spans="2:4" ht="12.75">
      <c r="B140" s="61" t="s">
        <v>41</v>
      </c>
      <c r="C140" s="47" t="s">
        <v>78</v>
      </c>
      <c r="D140" s="44">
        <f>SUM(D141)</f>
        <v>-165679</v>
      </c>
    </row>
    <row r="141" spans="2:4" ht="12.75">
      <c r="B141" s="29"/>
      <c r="C141" s="64" t="s">
        <v>88</v>
      </c>
      <c r="D141" s="36">
        <f>SUM(D142,D147:D151)</f>
        <v>-165679</v>
      </c>
    </row>
    <row r="142" spans="2:14" s="1" customFormat="1" ht="12.75">
      <c r="B142" s="29"/>
      <c r="C142" s="65" t="s">
        <v>83</v>
      </c>
      <c r="D142" s="36">
        <f>SUM(D143:D146)</f>
        <v>-30000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4" ht="12.75">
      <c r="B143" s="29"/>
      <c r="C143" s="66" t="s">
        <v>84</v>
      </c>
      <c r="D143" s="26">
        <f>D85-D84</f>
        <v>0</v>
      </c>
    </row>
    <row r="144" spans="2:4" ht="12.75">
      <c r="B144" s="29"/>
      <c r="C144" s="66" t="s">
        <v>85</v>
      </c>
      <c r="D144" s="26">
        <f>D88-D87</f>
        <v>-20000</v>
      </c>
    </row>
    <row r="145" spans="2:4" ht="12.75">
      <c r="B145" s="29"/>
      <c r="C145" s="66" t="s">
        <v>86</v>
      </c>
      <c r="D145" s="26">
        <f>D91-D90</f>
        <v>0</v>
      </c>
    </row>
    <row r="146" spans="2:4" ht="12.75">
      <c r="B146" s="29"/>
      <c r="C146" s="66" t="s">
        <v>87</v>
      </c>
      <c r="D146" s="26">
        <f>D94-D93</f>
        <v>-10000</v>
      </c>
    </row>
    <row r="147" spans="2:14" s="1" customFormat="1" ht="12.75">
      <c r="B147" s="29"/>
      <c r="C147" s="67" t="s">
        <v>79</v>
      </c>
      <c r="D147" s="36">
        <f>-D96</f>
        <v>-50000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s="1" customFormat="1" ht="12.75">
      <c r="B148" s="29"/>
      <c r="C148" s="67" t="s">
        <v>80</v>
      </c>
      <c r="D148" s="36">
        <f>-(D100-D99)</f>
        <v>-20000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s="1" customFormat="1" ht="12.75">
      <c r="B149" s="29"/>
      <c r="C149" s="67" t="s">
        <v>81</v>
      </c>
      <c r="D149" s="36">
        <f>-(D104-D103)</f>
        <v>-49999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s="1" customFormat="1" ht="12.75">
      <c r="B150" s="29"/>
      <c r="C150" s="67" t="s">
        <v>82</v>
      </c>
      <c r="D150" s="36">
        <f>-(D108-D107)</f>
        <v>-2000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4" ht="12.75">
      <c r="B151" s="29"/>
      <c r="C151" s="67" t="s">
        <v>152</v>
      </c>
      <c r="D151" s="36">
        <f>-D120</f>
        <v>-13680</v>
      </c>
    </row>
    <row r="152" spans="2:4" ht="12.75">
      <c r="B152" s="29"/>
      <c r="C152" s="38"/>
      <c r="D152" s="26"/>
    </row>
    <row r="153" spans="2:4" ht="12.75">
      <c r="B153" s="61" t="s">
        <v>42</v>
      </c>
      <c r="C153" s="47" t="s">
        <v>89</v>
      </c>
      <c r="D153" s="44">
        <v>200000</v>
      </c>
    </row>
    <row r="154" spans="2:4" ht="12.75">
      <c r="B154" s="29"/>
      <c r="C154" s="17"/>
      <c r="D154" s="26"/>
    </row>
    <row r="155" spans="2:14" s="9" customFormat="1" ht="18.75" customHeight="1">
      <c r="B155" s="11" t="s">
        <v>43</v>
      </c>
      <c r="C155" s="12" t="s">
        <v>109</v>
      </c>
      <c r="D155" s="13">
        <f>D126+D132+D140+D153</f>
        <v>78321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2:4" ht="12.75">
      <c r="B156" s="29"/>
      <c r="C156" s="17"/>
      <c r="D156" s="26"/>
    </row>
    <row r="157" spans="2:4" ht="12.75">
      <c r="B157" s="61" t="s">
        <v>58</v>
      </c>
      <c r="C157" s="47" t="s">
        <v>108</v>
      </c>
      <c r="D157" s="44">
        <f>D54</f>
        <v>75000</v>
      </c>
    </row>
    <row r="158" spans="2:4" ht="12.75">
      <c r="B158" s="29"/>
      <c r="C158" s="17"/>
      <c r="D158" s="26"/>
    </row>
    <row r="159" spans="2:4" ht="12.75">
      <c r="B159" s="61" t="s">
        <v>61</v>
      </c>
      <c r="C159" s="47" t="s">
        <v>142</v>
      </c>
      <c r="D159" s="44">
        <f>D157-D155</f>
        <v>-3321</v>
      </c>
    </row>
    <row r="160" spans="2:4" ht="12.75">
      <c r="B160" s="29"/>
      <c r="C160" s="17"/>
      <c r="D160" s="26"/>
    </row>
    <row r="161" spans="2:4" ht="15">
      <c r="B161" s="11"/>
      <c r="C161" s="12"/>
      <c r="D161" s="20" t="str">
        <f>IF(D159&lt;=0,"Wniosek: Rekompensata nie jest nadmierna","Wniosek: Rekompensata jest nadmierna")</f>
        <v>Wniosek: Rekompensata nie jest nadmierna</v>
      </c>
    </row>
    <row r="162" ht="12.75"/>
    <row r="163" ht="12.75"/>
    <row r="164" ht="12.75"/>
    <row r="165" ht="12.75"/>
    <row r="166" ht="15.75">
      <c r="B166" s="15" t="s">
        <v>106</v>
      </c>
    </row>
    <row r="167" ht="12.75"/>
    <row r="168" ht="12.75">
      <c r="B168" s="4" t="s">
        <v>179</v>
      </c>
    </row>
    <row r="169" spans="2:13" ht="5.25" customHeight="1">
      <c r="B169" s="2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2:13" ht="12.75">
      <c r="B170" s="21"/>
      <c r="C170" s="22"/>
      <c r="D170" s="68" t="s">
        <v>5</v>
      </c>
      <c r="E170" s="69" t="s">
        <v>114</v>
      </c>
      <c r="F170" s="69" t="s">
        <v>115</v>
      </c>
      <c r="G170" s="69" t="s">
        <v>116</v>
      </c>
      <c r="H170" s="69" t="s">
        <v>117</v>
      </c>
      <c r="I170" s="69" t="s">
        <v>118</v>
      </c>
      <c r="J170" s="69" t="s">
        <v>119</v>
      </c>
      <c r="K170" s="69" t="s">
        <v>120</v>
      </c>
      <c r="L170" s="69" t="s">
        <v>121</v>
      </c>
      <c r="M170" s="70" t="s">
        <v>122</v>
      </c>
    </row>
    <row r="171" spans="2:13" ht="12.75">
      <c r="B171" s="29"/>
      <c r="C171" s="17"/>
      <c r="D171" s="18"/>
      <c r="E171" s="18"/>
      <c r="F171" s="18"/>
      <c r="G171" s="18"/>
      <c r="H171" s="18"/>
      <c r="I171" s="18"/>
      <c r="J171" s="18"/>
      <c r="K171" s="18"/>
      <c r="L171" s="18"/>
      <c r="M171" s="26"/>
    </row>
    <row r="172" spans="2:13" ht="12.75">
      <c r="B172" s="61" t="s">
        <v>39</v>
      </c>
      <c r="C172" s="47" t="s">
        <v>153</v>
      </c>
      <c r="D172" s="71">
        <f>SUM(D173:D175)</f>
        <v>-2300000</v>
      </c>
      <c r="E172" s="72"/>
      <c r="F172" s="72"/>
      <c r="G172" s="72"/>
      <c r="H172" s="72"/>
      <c r="I172" s="72"/>
      <c r="J172" s="72"/>
      <c r="K172" s="72"/>
      <c r="L172" s="72"/>
      <c r="M172" s="57"/>
    </row>
    <row r="173" spans="2:13" ht="12.75">
      <c r="B173" s="29"/>
      <c r="C173" s="40" t="s">
        <v>127</v>
      </c>
      <c r="D173" s="18">
        <f>-2000000</f>
        <v>-2000000</v>
      </c>
      <c r="E173" s="18"/>
      <c r="F173" s="18"/>
      <c r="G173" s="18"/>
      <c r="H173" s="18"/>
      <c r="I173" s="18"/>
      <c r="J173" s="18"/>
      <c r="K173" s="18"/>
      <c r="L173" s="18"/>
      <c r="M173" s="26"/>
    </row>
    <row r="174" spans="2:13" ht="12.75">
      <c r="B174" s="29"/>
      <c r="C174" s="38" t="s">
        <v>124</v>
      </c>
      <c r="D174" s="18">
        <f>-D19</f>
        <v>-250000</v>
      </c>
      <c r="E174" s="18"/>
      <c r="F174" s="18"/>
      <c r="G174" s="18"/>
      <c r="H174" s="18"/>
      <c r="I174" s="18"/>
      <c r="J174" s="18"/>
      <c r="K174" s="18"/>
      <c r="L174" s="18"/>
      <c r="M174" s="26"/>
    </row>
    <row r="175" spans="2:13" ht="12.75">
      <c r="B175" s="29"/>
      <c r="C175" s="38" t="s">
        <v>126</v>
      </c>
      <c r="D175" s="18">
        <f>-D18</f>
        <v>-50000</v>
      </c>
      <c r="E175" s="18"/>
      <c r="F175" s="18"/>
      <c r="G175" s="18"/>
      <c r="H175" s="18"/>
      <c r="I175" s="18"/>
      <c r="J175" s="18"/>
      <c r="K175" s="18"/>
      <c r="L175" s="18"/>
      <c r="M175" s="26"/>
    </row>
    <row r="176" spans="2:13" ht="12.75">
      <c r="B176" s="29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26"/>
    </row>
    <row r="177" spans="2:13" ht="12.75">
      <c r="B177" s="61" t="s">
        <v>40</v>
      </c>
      <c r="C177" s="73" t="s">
        <v>111</v>
      </c>
      <c r="D177" s="71">
        <f>SUM(D178:D180)</f>
        <v>1025000</v>
      </c>
      <c r="E177" s="71">
        <f aca="true" t="shared" si="0" ref="E177:M177">SUM(E178:E180)</f>
        <v>125000</v>
      </c>
      <c r="F177" s="71">
        <f t="shared" si="0"/>
        <v>125000</v>
      </c>
      <c r="G177" s="71">
        <f t="shared" si="0"/>
        <v>125000</v>
      </c>
      <c r="H177" s="71">
        <f t="shared" si="0"/>
        <v>125000</v>
      </c>
      <c r="I177" s="71">
        <f t="shared" si="0"/>
        <v>125000</v>
      </c>
      <c r="J177" s="71">
        <f t="shared" si="0"/>
        <v>125000</v>
      </c>
      <c r="K177" s="71">
        <f t="shared" si="0"/>
        <v>125000</v>
      </c>
      <c r="L177" s="71">
        <f t="shared" si="0"/>
        <v>125000</v>
      </c>
      <c r="M177" s="44">
        <f t="shared" si="0"/>
        <v>125000</v>
      </c>
    </row>
    <row r="178" spans="2:13" ht="12.75">
      <c r="B178" s="29"/>
      <c r="C178" s="38" t="s">
        <v>2</v>
      </c>
      <c r="D178" s="18">
        <f>D48</f>
        <v>125000</v>
      </c>
      <c r="E178" s="18">
        <f>D178</f>
        <v>125000</v>
      </c>
      <c r="F178" s="18">
        <f>E178</f>
        <v>125000</v>
      </c>
      <c r="G178" s="18">
        <f aca="true" t="shared" si="1" ref="G178:M178">F178</f>
        <v>125000</v>
      </c>
      <c r="H178" s="18">
        <f t="shared" si="1"/>
        <v>125000</v>
      </c>
      <c r="I178" s="18">
        <f t="shared" si="1"/>
        <v>125000</v>
      </c>
      <c r="J178" s="18">
        <f t="shared" si="1"/>
        <v>125000</v>
      </c>
      <c r="K178" s="18">
        <f t="shared" si="1"/>
        <v>125000</v>
      </c>
      <c r="L178" s="18">
        <f t="shared" si="1"/>
        <v>125000</v>
      </c>
      <c r="M178" s="26">
        <f t="shared" si="1"/>
        <v>125000</v>
      </c>
    </row>
    <row r="179" spans="2:13" ht="12.75">
      <c r="B179" s="29"/>
      <c r="C179" s="38" t="s">
        <v>123</v>
      </c>
      <c r="D179" s="18">
        <f>D38+D40</f>
        <v>400000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6">
        <v>0</v>
      </c>
    </row>
    <row r="180" spans="2:13" ht="12.75">
      <c r="B180" s="29"/>
      <c r="C180" s="38" t="s">
        <v>125</v>
      </c>
      <c r="D180" s="18">
        <f>D36</f>
        <v>500000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26">
        <v>0</v>
      </c>
    </row>
    <row r="181" spans="2:13" ht="12.75">
      <c r="B181" s="29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26"/>
    </row>
    <row r="182" spans="2:13" ht="12.75">
      <c r="B182" s="61" t="s">
        <v>41</v>
      </c>
      <c r="C182" s="47" t="s">
        <v>112</v>
      </c>
      <c r="D182" s="71">
        <f>SUM(D183:D186)</f>
        <v>-1015000</v>
      </c>
      <c r="E182" s="71">
        <f aca="true" t="shared" si="2" ref="E182:M182">SUM(E183:E186)</f>
        <v>-118000</v>
      </c>
      <c r="F182" s="71">
        <f t="shared" si="2"/>
        <v>-118000</v>
      </c>
      <c r="G182" s="71">
        <f t="shared" si="2"/>
        <v>-118000</v>
      </c>
      <c r="H182" s="71">
        <f t="shared" si="2"/>
        <v>-118000</v>
      </c>
      <c r="I182" s="71">
        <f t="shared" si="2"/>
        <v>-118000</v>
      </c>
      <c r="J182" s="71">
        <f t="shared" si="2"/>
        <v>-118000</v>
      </c>
      <c r="K182" s="71">
        <f t="shared" si="2"/>
        <v>-118000</v>
      </c>
      <c r="L182" s="71">
        <f t="shared" si="2"/>
        <v>-118000</v>
      </c>
      <c r="M182" s="44">
        <f t="shared" si="2"/>
        <v>-118000</v>
      </c>
    </row>
    <row r="183" spans="2:13" ht="12.75">
      <c r="B183" s="29"/>
      <c r="C183" s="38" t="s">
        <v>129</v>
      </c>
      <c r="D183" s="18">
        <f>-(D56-D57-D113-D114)</f>
        <v>-72000</v>
      </c>
      <c r="E183" s="18">
        <v>-75000</v>
      </c>
      <c r="F183" s="18">
        <v>-75000</v>
      </c>
      <c r="G183" s="18">
        <v>-75000</v>
      </c>
      <c r="H183" s="18">
        <v>-75000</v>
      </c>
      <c r="I183" s="18">
        <v>-75000</v>
      </c>
      <c r="J183" s="18">
        <v>-75000</v>
      </c>
      <c r="K183" s="18">
        <v>-75000</v>
      </c>
      <c r="L183" s="18">
        <v>-75000</v>
      </c>
      <c r="M183" s="26">
        <v>-75000</v>
      </c>
    </row>
    <row r="184" spans="2:13" ht="12.75">
      <c r="B184" s="29"/>
      <c r="C184" s="38" t="s">
        <v>3</v>
      </c>
      <c r="D184" s="18">
        <f>-(D67+D68)</f>
        <v>-13000</v>
      </c>
      <c r="E184" s="18">
        <f>D184</f>
        <v>-13000</v>
      </c>
      <c r="F184" s="18">
        <f aca="true" t="shared" si="3" ref="F184:M185">E184</f>
        <v>-13000</v>
      </c>
      <c r="G184" s="18">
        <f t="shared" si="3"/>
        <v>-13000</v>
      </c>
      <c r="H184" s="18">
        <f t="shared" si="3"/>
        <v>-13000</v>
      </c>
      <c r="I184" s="18">
        <f t="shared" si="3"/>
        <v>-13000</v>
      </c>
      <c r="J184" s="18">
        <f t="shared" si="3"/>
        <v>-13000</v>
      </c>
      <c r="K184" s="18">
        <f t="shared" si="3"/>
        <v>-13000</v>
      </c>
      <c r="L184" s="18">
        <f t="shared" si="3"/>
        <v>-13000</v>
      </c>
      <c r="M184" s="26">
        <f t="shared" si="3"/>
        <v>-13000</v>
      </c>
    </row>
    <row r="185" spans="2:13" ht="12.75">
      <c r="B185" s="29"/>
      <c r="C185" s="38" t="s">
        <v>133</v>
      </c>
      <c r="D185" s="18">
        <f>-D38/10</f>
        <v>-30000</v>
      </c>
      <c r="E185" s="18">
        <f>D185</f>
        <v>-30000</v>
      </c>
      <c r="F185" s="18">
        <f t="shared" si="3"/>
        <v>-30000</v>
      </c>
      <c r="G185" s="18">
        <f t="shared" si="3"/>
        <v>-30000</v>
      </c>
      <c r="H185" s="18">
        <f t="shared" si="3"/>
        <v>-30000</v>
      </c>
      <c r="I185" s="18">
        <f t="shared" si="3"/>
        <v>-30000</v>
      </c>
      <c r="J185" s="18">
        <f t="shared" si="3"/>
        <v>-30000</v>
      </c>
      <c r="K185" s="18">
        <f t="shared" si="3"/>
        <v>-30000</v>
      </c>
      <c r="L185" s="18">
        <f t="shared" si="3"/>
        <v>-30000</v>
      </c>
      <c r="M185" s="26">
        <f t="shared" si="3"/>
        <v>-30000</v>
      </c>
    </row>
    <row r="186" spans="2:13" ht="12.75">
      <c r="B186" s="29"/>
      <c r="C186" s="38" t="s">
        <v>134</v>
      </c>
      <c r="D186" s="18">
        <f>-D179-D180</f>
        <v>-900000</v>
      </c>
      <c r="E186" s="18"/>
      <c r="F186" s="18"/>
      <c r="G186" s="18"/>
      <c r="H186" s="18"/>
      <c r="I186" s="18"/>
      <c r="J186" s="18"/>
      <c r="K186" s="18"/>
      <c r="L186" s="18"/>
      <c r="M186" s="26"/>
    </row>
    <row r="187" spans="2:13" ht="12.75">
      <c r="B187" s="29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26"/>
    </row>
    <row r="188" spans="2:13" ht="12.75">
      <c r="B188" s="74" t="s">
        <v>42</v>
      </c>
      <c r="C188" s="50" t="s">
        <v>141</v>
      </c>
      <c r="D188" s="75">
        <f>D172+D177+D182</f>
        <v>-2290000</v>
      </c>
      <c r="E188" s="75">
        <f aca="true" t="shared" si="4" ref="E188:M188">E172+E177+E182</f>
        <v>7000</v>
      </c>
      <c r="F188" s="75">
        <f t="shared" si="4"/>
        <v>7000</v>
      </c>
      <c r="G188" s="75">
        <f t="shared" si="4"/>
        <v>7000</v>
      </c>
      <c r="H188" s="75">
        <f t="shared" si="4"/>
        <v>7000</v>
      </c>
      <c r="I188" s="75">
        <f t="shared" si="4"/>
        <v>7000</v>
      </c>
      <c r="J188" s="75">
        <f t="shared" si="4"/>
        <v>7000</v>
      </c>
      <c r="K188" s="75">
        <f t="shared" si="4"/>
        <v>7000</v>
      </c>
      <c r="L188" s="75">
        <f t="shared" si="4"/>
        <v>7000</v>
      </c>
      <c r="M188" s="46">
        <f t="shared" si="4"/>
        <v>7000</v>
      </c>
    </row>
    <row r="189" ht="12.75"/>
    <row r="190" spans="2:4" ht="15">
      <c r="B190" s="11" t="s">
        <v>43</v>
      </c>
      <c r="C190" s="12" t="s">
        <v>140</v>
      </c>
      <c r="D190" s="19">
        <f>IRR(D188:M188)</f>
        <v>-0.42209317137323343</v>
      </c>
    </row>
    <row r="191" ht="12.75"/>
    <row r="192" spans="2:4" ht="15">
      <c r="B192" s="11"/>
      <c r="C192" s="12"/>
      <c r="D192" s="20" t="str">
        <f>IF(D190&lt;=5.03%,"Wniosek: Rekompensata nie jest nadmierna","Wniosek: Rekompensata jest nadmierna")</f>
        <v>Wniosek: Rekompensata nie jest nadmierna</v>
      </c>
    </row>
    <row r="193" ht="12.75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</sheetData>
  <sheetProtection/>
  <printOptions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0:N188"/>
  <sheetViews>
    <sheetView showGridLines="0" zoomScalePageLayoutView="0" workbookViewId="0" topLeftCell="A54">
      <selection activeCell="G71" sqref="G71"/>
    </sheetView>
  </sheetViews>
  <sheetFormatPr defaultColWidth="0" defaultRowHeight="12.75" zeroHeight="1"/>
  <cols>
    <col min="1" max="1" width="3.421875" style="2" customWidth="1"/>
    <col min="2" max="2" width="2.421875" style="4" customWidth="1"/>
    <col min="3" max="3" width="83.140625" style="2" bestFit="1" customWidth="1"/>
    <col min="4" max="4" width="17.7109375" style="3" customWidth="1"/>
    <col min="5" max="13" width="12.7109375" style="3" customWidth="1"/>
    <col min="14" max="14" width="3.8515625" style="3" customWidth="1"/>
    <col min="15" max="16384" width="9.140625" style="2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2:4" ht="18.75">
      <c r="B10" s="77" t="s">
        <v>144</v>
      </c>
      <c r="C10" s="78"/>
      <c r="D10" s="79"/>
    </row>
    <row r="11" ht="12.75"/>
    <row r="12" ht="12.75"/>
    <row r="13" spans="2:14" ht="15.75">
      <c r="B13" s="15" t="s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>
      <c r="B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34.5" customHeight="1">
      <c r="B15" s="21"/>
      <c r="C15" s="22"/>
      <c r="D15" s="124" t="s">
        <v>97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23" t="s">
        <v>39</v>
      </c>
      <c r="C16" s="24" t="s">
        <v>113</v>
      </c>
      <c r="D16" s="26">
        <v>90000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23"/>
      <c r="C17" s="25" t="s">
        <v>110</v>
      </c>
      <c r="D17" s="26">
        <v>200000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2.75">
      <c r="B18" s="23" t="s">
        <v>91</v>
      </c>
      <c r="C18" s="24" t="s">
        <v>107</v>
      </c>
      <c r="D18" s="26">
        <v>50000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 s="23" t="s">
        <v>92</v>
      </c>
      <c r="C19" s="24" t="s">
        <v>103</v>
      </c>
      <c r="D19" s="51">
        <v>250000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98" t="s">
        <v>101</v>
      </c>
      <c r="C20" s="81" t="s">
        <v>163</v>
      </c>
      <c r="D20" s="26">
        <v>100000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99"/>
      <c r="C21" s="100" t="s">
        <v>27</v>
      </c>
      <c r="D21" s="26"/>
      <c r="N21" s="2"/>
    </row>
    <row r="22" spans="2:14" ht="12.75">
      <c r="B22" s="99"/>
      <c r="C22" s="101" t="s">
        <v>24</v>
      </c>
      <c r="D22" s="26">
        <v>50000</v>
      </c>
      <c r="N22" s="2"/>
    </row>
    <row r="23" spans="2:14" ht="12.75">
      <c r="B23" s="99"/>
      <c r="C23" s="101" t="s">
        <v>175</v>
      </c>
      <c r="D23" s="26">
        <v>50000</v>
      </c>
      <c r="N23" s="2"/>
    </row>
    <row r="24" spans="2:14" ht="12.75">
      <c r="B24" s="99"/>
      <c r="C24" s="100" t="s">
        <v>26</v>
      </c>
      <c r="D24" s="26"/>
      <c r="N24" s="2"/>
    </row>
    <row r="25" spans="2:14" ht="12.75">
      <c r="B25" s="99"/>
      <c r="C25" s="101" t="s">
        <v>24</v>
      </c>
      <c r="D25" s="26">
        <v>50000</v>
      </c>
      <c r="N25" s="2"/>
    </row>
    <row r="26" spans="2:14" ht="12.75">
      <c r="B26" s="99"/>
      <c r="C26" s="101" t="s">
        <v>174</v>
      </c>
      <c r="D26" s="26">
        <v>30000</v>
      </c>
      <c r="N26" s="2"/>
    </row>
    <row r="27" spans="2:14" ht="12.75">
      <c r="B27" s="98" t="s">
        <v>102</v>
      </c>
      <c r="C27" s="81" t="s">
        <v>143</v>
      </c>
      <c r="D27" s="26">
        <v>150000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99"/>
      <c r="C28" s="100" t="s">
        <v>154</v>
      </c>
      <c r="D28" s="26"/>
      <c r="N28" s="2"/>
    </row>
    <row r="29" spans="2:14" ht="12.75">
      <c r="B29" s="34"/>
      <c r="C29" s="54" t="s">
        <v>25</v>
      </c>
      <c r="D29" s="26">
        <v>100000</v>
      </c>
      <c r="N29" s="2"/>
    </row>
    <row r="30" spans="2:14" ht="12.75">
      <c r="B30" s="34"/>
      <c r="C30" s="54" t="s">
        <v>174</v>
      </c>
      <c r="D30" s="26">
        <v>100000</v>
      </c>
      <c r="N30" s="2"/>
    </row>
    <row r="31" spans="2:14" ht="12.75">
      <c r="B31" s="34"/>
      <c r="C31" s="52" t="s">
        <v>155</v>
      </c>
      <c r="D31" s="26"/>
      <c r="N31" s="2"/>
    </row>
    <row r="32" spans="2:14" ht="12.75">
      <c r="B32" s="34"/>
      <c r="C32" s="54" t="s">
        <v>25</v>
      </c>
      <c r="D32" s="26">
        <v>50000</v>
      </c>
      <c r="N32" s="2"/>
    </row>
    <row r="33" spans="2:14" ht="12.75">
      <c r="B33" s="34"/>
      <c r="C33" s="54" t="s">
        <v>174</v>
      </c>
      <c r="D33" s="26">
        <v>40000</v>
      </c>
      <c r="N33" s="2"/>
    </row>
    <row r="34" spans="2:14" ht="25.5">
      <c r="B34" s="23" t="s">
        <v>42</v>
      </c>
      <c r="C34" s="24" t="s">
        <v>95</v>
      </c>
      <c r="D34" s="26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3" t="s">
        <v>43</v>
      </c>
      <c r="C35" s="27" t="s">
        <v>96</v>
      </c>
      <c r="D35" s="26">
        <v>1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85" t="s">
        <v>58</v>
      </c>
      <c r="C36" s="86" t="s">
        <v>98</v>
      </c>
      <c r="D36" s="87">
        <v>500000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88"/>
      <c r="C37" s="86" t="s">
        <v>99</v>
      </c>
      <c r="D37" s="87">
        <v>15000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9" t="s">
        <v>61</v>
      </c>
      <c r="C38" s="24" t="s">
        <v>136</v>
      </c>
      <c r="D38" s="26">
        <v>300000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8"/>
      <c r="C39" s="25" t="s">
        <v>100</v>
      </c>
      <c r="D39" s="26">
        <v>8000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30" t="s">
        <v>130</v>
      </c>
      <c r="C40" s="31" t="s">
        <v>137</v>
      </c>
      <c r="D40" s="26">
        <v>100000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8"/>
      <c r="C41" s="25" t="s">
        <v>138</v>
      </c>
      <c r="D41" s="26">
        <v>5000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32" t="s">
        <v>139</v>
      </c>
      <c r="C42" s="76" t="s">
        <v>172</v>
      </c>
      <c r="D42" s="60">
        <v>2000000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4" t="s">
        <v>173</v>
      </c>
      <c r="C43" s="14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2.75">
      <c r="C44" s="14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5.75">
      <c r="B45" s="15" t="s">
        <v>1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1"/>
      <c r="C47" s="22"/>
      <c r="D47" s="33" t="s">
        <v>5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4" ht="12.75">
      <c r="B48" s="34" t="s">
        <v>46</v>
      </c>
      <c r="C48" s="35" t="s">
        <v>15</v>
      </c>
      <c r="D48" s="36">
        <f>SUM(D49:D55)</f>
        <v>211999</v>
      </c>
    </row>
    <row r="49" spans="2:4" ht="12.75">
      <c r="B49" s="37" t="s">
        <v>39</v>
      </c>
      <c r="C49" s="38" t="s">
        <v>12</v>
      </c>
      <c r="D49" s="26">
        <v>30000</v>
      </c>
    </row>
    <row r="50" spans="2:4" ht="12.75">
      <c r="B50" s="37" t="s">
        <v>40</v>
      </c>
      <c r="C50" s="38" t="s">
        <v>13</v>
      </c>
      <c r="D50" s="26">
        <v>4000</v>
      </c>
    </row>
    <row r="51" spans="2:4" ht="12.75">
      <c r="B51" s="37" t="s">
        <v>41</v>
      </c>
      <c r="C51" s="38" t="s">
        <v>14</v>
      </c>
      <c r="D51" s="26">
        <v>1000</v>
      </c>
    </row>
    <row r="52" spans="2:4" ht="12.75">
      <c r="B52" s="37" t="s">
        <v>42</v>
      </c>
      <c r="C52" s="38" t="s">
        <v>11</v>
      </c>
      <c r="D52" s="26">
        <v>10000</v>
      </c>
    </row>
    <row r="53" spans="2:4" ht="12.75">
      <c r="B53" s="37" t="s">
        <v>43</v>
      </c>
      <c r="C53" s="38" t="s">
        <v>67</v>
      </c>
      <c r="D53" s="26">
        <v>5000</v>
      </c>
    </row>
    <row r="54" spans="1:5" ht="12.75">
      <c r="A54" s="17"/>
      <c r="B54" s="37" t="s">
        <v>58</v>
      </c>
      <c r="C54" s="7" t="s">
        <v>22</v>
      </c>
      <c r="D54" s="39">
        <f>D16</f>
        <v>90000</v>
      </c>
      <c r="E54" s="18"/>
    </row>
    <row r="55" spans="2:4" ht="12.75">
      <c r="B55" s="37" t="s">
        <v>61</v>
      </c>
      <c r="C55" s="7" t="s">
        <v>104</v>
      </c>
      <c r="D55" s="39">
        <f>D100+D104-D103+D108-D107</f>
        <v>71999</v>
      </c>
    </row>
    <row r="56" spans="2:4" ht="12.75">
      <c r="B56" s="34" t="s">
        <v>47</v>
      </c>
      <c r="C56" s="35" t="s">
        <v>17</v>
      </c>
      <c r="D56" s="36">
        <v>100000</v>
      </c>
    </row>
    <row r="57" spans="1:4" ht="12.75">
      <c r="A57" s="6"/>
      <c r="B57" s="37" t="s">
        <v>39</v>
      </c>
      <c r="C57" s="40" t="s">
        <v>18</v>
      </c>
      <c r="D57" s="26">
        <v>25000</v>
      </c>
    </row>
    <row r="58" spans="1:4" ht="12.75">
      <c r="A58" s="6"/>
      <c r="B58" s="37" t="s">
        <v>64</v>
      </c>
      <c r="C58" s="125" t="s">
        <v>229</v>
      </c>
      <c r="D58" s="26">
        <v>15000</v>
      </c>
    </row>
    <row r="59" spans="2:4" ht="12.75">
      <c r="B59" s="42" t="s">
        <v>48</v>
      </c>
      <c r="C59" s="43" t="s">
        <v>16</v>
      </c>
      <c r="D59" s="44">
        <f>D48-D56</f>
        <v>111999</v>
      </c>
    </row>
    <row r="60" spans="2:4" ht="12.75">
      <c r="B60" s="34"/>
      <c r="C60" s="17"/>
      <c r="D60" s="26"/>
    </row>
    <row r="61" spans="2:4" ht="12.75">
      <c r="B61" s="34" t="s">
        <v>49</v>
      </c>
      <c r="C61" s="35" t="s">
        <v>20</v>
      </c>
      <c r="D61" s="36">
        <v>10000</v>
      </c>
    </row>
    <row r="62" spans="2:4" ht="12.75">
      <c r="B62" s="34" t="s">
        <v>50</v>
      </c>
      <c r="C62" s="35" t="s">
        <v>21</v>
      </c>
      <c r="D62" s="36">
        <v>8500</v>
      </c>
    </row>
    <row r="63" spans="2:4" ht="12.75">
      <c r="B63" s="42" t="s">
        <v>51</v>
      </c>
      <c r="C63" s="43" t="s">
        <v>6</v>
      </c>
      <c r="D63" s="44">
        <f>D61-D62+D59</f>
        <v>113499</v>
      </c>
    </row>
    <row r="64" spans="2:4" ht="12.75">
      <c r="B64" s="34"/>
      <c r="C64" s="17"/>
      <c r="D64" s="26"/>
    </row>
    <row r="65" spans="2:4" ht="12.75">
      <c r="B65" s="34" t="s">
        <v>52</v>
      </c>
      <c r="C65" s="35" t="s">
        <v>36</v>
      </c>
      <c r="D65" s="36">
        <f>1000</f>
        <v>1000</v>
      </c>
    </row>
    <row r="66" spans="2:4" ht="12.75">
      <c r="B66" s="34" t="s">
        <v>53</v>
      </c>
      <c r="C66" s="35" t="s">
        <v>33</v>
      </c>
      <c r="D66" s="36">
        <f>SUM(D67:D69)</f>
        <v>15000</v>
      </c>
    </row>
    <row r="67" spans="2:4" ht="12.75">
      <c r="B67" s="37" t="s">
        <v>39</v>
      </c>
      <c r="C67" s="40" t="s">
        <v>34</v>
      </c>
      <c r="D67" s="26">
        <v>8000</v>
      </c>
    </row>
    <row r="68" spans="2:4" ht="12.75">
      <c r="B68" s="37" t="s">
        <v>40</v>
      </c>
      <c r="C68" s="40" t="s">
        <v>135</v>
      </c>
      <c r="D68" s="26">
        <v>5000</v>
      </c>
    </row>
    <row r="69" spans="2:4" ht="12.75">
      <c r="B69" s="37" t="s">
        <v>41</v>
      </c>
      <c r="C69" s="40" t="s">
        <v>35</v>
      </c>
      <c r="D69" s="26">
        <v>2000</v>
      </c>
    </row>
    <row r="70" spans="2:4" ht="12.75">
      <c r="B70" s="42" t="s">
        <v>54</v>
      </c>
      <c r="C70" s="43" t="s">
        <v>7</v>
      </c>
      <c r="D70" s="44">
        <f>D65-D66+D63</f>
        <v>99499</v>
      </c>
    </row>
    <row r="71" spans="2:4" ht="12.75">
      <c r="B71" s="34"/>
      <c r="C71" s="17"/>
      <c r="D71" s="26"/>
    </row>
    <row r="72" spans="2:4" ht="12.75">
      <c r="B72" s="42" t="s">
        <v>55</v>
      </c>
      <c r="C72" s="47" t="s">
        <v>8</v>
      </c>
      <c r="D72" s="44">
        <f>D70</f>
        <v>99499</v>
      </c>
    </row>
    <row r="73" spans="2:4" ht="12.75">
      <c r="B73" s="34"/>
      <c r="C73" s="48" t="s">
        <v>105</v>
      </c>
      <c r="D73" s="49">
        <f>D72+D58</f>
        <v>114499</v>
      </c>
    </row>
    <row r="74" spans="2:4" ht="12.75">
      <c r="B74" s="34" t="s">
        <v>56</v>
      </c>
      <c r="C74" s="40" t="s">
        <v>4</v>
      </c>
      <c r="D74" s="26">
        <f>ROUND(IF(D73&gt;0,0.19*D72,0),0)</f>
        <v>18905</v>
      </c>
    </row>
    <row r="75" spans="2:4" ht="12.75">
      <c r="B75" s="45" t="s">
        <v>57</v>
      </c>
      <c r="C75" s="50" t="s">
        <v>9</v>
      </c>
      <c r="D75" s="46">
        <f>D72-D74</f>
        <v>80594</v>
      </c>
    </row>
    <row r="76" ht="12.75">
      <c r="B76" s="8"/>
    </row>
    <row r="77" ht="12.75">
      <c r="B77" s="8"/>
    </row>
    <row r="78" ht="12.75">
      <c r="B78" s="8"/>
    </row>
    <row r="79" ht="15.75">
      <c r="B79" s="15" t="s">
        <v>90</v>
      </c>
    </row>
    <row r="80" ht="12.75">
      <c r="B80" s="2"/>
    </row>
    <row r="81" spans="2:4" ht="12.75">
      <c r="B81" s="21"/>
      <c r="C81" s="22"/>
      <c r="D81" s="33" t="s">
        <v>5</v>
      </c>
    </row>
    <row r="82" spans="2:4" ht="12.75">
      <c r="B82" s="42" t="s">
        <v>39</v>
      </c>
      <c r="C82" s="47" t="s">
        <v>37</v>
      </c>
      <c r="D82" s="44">
        <f>SUM(D84,D87,D90,D93)</f>
        <v>250000</v>
      </c>
    </row>
    <row r="83" spans="2:4" ht="12.75">
      <c r="B83" s="34"/>
      <c r="C83" s="52" t="s">
        <v>27</v>
      </c>
      <c r="D83" s="53"/>
    </row>
    <row r="84" spans="2:4" ht="12.75">
      <c r="B84" s="34"/>
      <c r="C84" s="54" t="s">
        <v>24</v>
      </c>
      <c r="D84" s="26">
        <v>50000</v>
      </c>
    </row>
    <row r="85" spans="2:4" ht="12.75">
      <c r="B85" s="34"/>
      <c r="C85" s="54" t="s">
        <v>176</v>
      </c>
      <c r="D85" s="26">
        <v>50000</v>
      </c>
    </row>
    <row r="86" spans="2:4" ht="12.75">
      <c r="B86" s="34"/>
      <c r="C86" s="52" t="s">
        <v>26</v>
      </c>
      <c r="D86" s="53"/>
    </row>
    <row r="87" spans="2:4" ht="12.75">
      <c r="B87" s="34"/>
      <c r="C87" s="54" t="s">
        <v>24</v>
      </c>
      <c r="D87" s="26">
        <v>50000</v>
      </c>
    </row>
    <row r="88" spans="2:4" ht="12.75">
      <c r="B88" s="34"/>
      <c r="C88" s="54" t="s">
        <v>176</v>
      </c>
      <c r="D88" s="26">
        <v>30000</v>
      </c>
    </row>
    <row r="89" spans="2:4" ht="12.75">
      <c r="B89" s="34"/>
      <c r="C89" s="52" t="s">
        <v>28</v>
      </c>
      <c r="D89" s="55"/>
    </row>
    <row r="90" spans="2:4" ht="12.75">
      <c r="B90" s="34"/>
      <c r="C90" s="54" t="s">
        <v>25</v>
      </c>
      <c r="D90" s="26">
        <v>100000</v>
      </c>
    </row>
    <row r="91" spans="2:4" ht="12.75">
      <c r="B91" s="34"/>
      <c r="C91" s="54" t="s">
        <v>176</v>
      </c>
      <c r="D91" s="26">
        <v>100000</v>
      </c>
    </row>
    <row r="92" spans="2:4" ht="12.75">
      <c r="B92" s="34"/>
      <c r="C92" s="52" t="s">
        <v>29</v>
      </c>
      <c r="D92" s="26"/>
    </row>
    <row r="93" spans="2:4" ht="12.75">
      <c r="B93" s="34"/>
      <c r="C93" s="54" t="s">
        <v>25</v>
      </c>
      <c r="D93" s="26">
        <v>50000</v>
      </c>
    </row>
    <row r="94" spans="2:4" ht="12.75">
      <c r="B94" s="34"/>
      <c r="C94" s="54" t="s">
        <v>176</v>
      </c>
      <c r="D94" s="26">
        <v>40000</v>
      </c>
    </row>
    <row r="95" spans="2:4" ht="12.75">
      <c r="B95" s="34"/>
      <c r="C95" s="56"/>
      <c r="D95" s="26"/>
    </row>
    <row r="96" spans="2:4" ht="12.75">
      <c r="B96" s="42" t="s">
        <v>40</v>
      </c>
      <c r="C96" s="47" t="s">
        <v>10</v>
      </c>
      <c r="D96" s="44">
        <v>50000</v>
      </c>
    </row>
    <row r="97" spans="2:4" ht="12.75">
      <c r="B97" s="34"/>
      <c r="C97" s="56"/>
      <c r="D97" s="26"/>
    </row>
    <row r="98" spans="2:4" ht="12.75">
      <c r="B98" s="42" t="s">
        <v>41</v>
      </c>
      <c r="C98" s="47" t="s">
        <v>38</v>
      </c>
      <c r="D98" s="57"/>
    </row>
    <row r="99" spans="2:4" ht="12.75">
      <c r="B99" s="34"/>
      <c r="C99" s="38" t="s">
        <v>31</v>
      </c>
      <c r="D99" s="26">
        <v>0</v>
      </c>
    </row>
    <row r="100" spans="2:4" ht="12.75">
      <c r="B100" s="34"/>
      <c r="C100" s="38" t="s">
        <v>30</v>
      </c>
      <c r="D100" s="26">
        <v>20000</v>
      </c>
    </row>
    <row r="101" spans="2:4" ht="12.75">
      <c r="B101" s="34"/>
      <c r="C101" s="17"/>
      <c r="D101" s="53"/>
    </row>
    <row r="102" spans="2:4" ht="12.75">
      <c r="B102" s="42" t="s">
        <v>42</v>
      </c>
      <c r="C102" s="47" t="s">
        <v>23</v>
      </c>
      <c r="D102" s="57"/>
    </row>
    <row r="103" spans="2:4" ht="12.75">
      <c r="B103" s="34"/>
      <c r="C103" s="38" t="s">
        <v>31</v>
      </c>
      <c r="D103" s="26">
        <v>1</v>
      </c>
    </row>
    <row r="104" spans="2:4" ht="12.75">
      <c r="B104" s="34"/>
      <c r="C104" s="38" t="s">
        <v>32</v>
      </c>
      <c r="D104" s="26">
        <v>50000</v>
      </c>
    </row>
    <row r="105" spans="2:4" ht="12.75">
      <c r="B105" s="34"/>
      <c r="C105" s="17"/>
      <c r="D105" s="26"/>
    </row>
    <row r="106" spans="2:4" ht="12.75">
      <c r="B106" s="42" t="s">
        <v>43</v>
      </c>
      <c r="C106" s="47" t="s">
        <v>60</v>
      </c>
      <c r="D106" s="57"/>
    </row>
    <row r="107" spans="2:4" ht="12.75">
      <c r="B107" s="34"/>
      <c r="C107" s="38" t="s">
        <v>44</v>
      </c>
      <c r="D107" s="26">
        <f>D67</f>
        <v>8000</v>
      </c>
    </row>
    <row r="108" spans="2:4" ht="12.75">
      <c r="B108" s="34"/>
      <c r="C108" s="38" t="s">
        <v>45</v>
      </c>
      <c r="D108" s="26">
        <v>10000</v>
      </c>
    </row>
    <row r="109" spans="2:4" ht="12.75">
      <c r="B109" s="34"/>
      <c r="C109" s="17"/>
      <c r="D109" s="26"/>
    </row>
    <row r="110" spans="2:4" ht="12.75">
      <c r="B110" s="42" t="s">
        <v>58</v>
      </c>
      <c r="C110" s="47" t="s">
        <v>59</v>
      </c>
      <c r="D110" s="44">
        <f>D37</f>
        <v>15000</v>
      </c>
    </row>
    <row r="111" spans="2:4" ht="12.75">
      <c r="B111" s="34"/>
      <c r="C111" s="17"/>
      <c r="D111" s="26"/>
    </row>
    <row r="112" spans="2:4" ht="12.75">
      <c r="B112" s="42" t="s">
        <v>61</v>
      </c>
      <c r="C112" s="47" t="s">
        <v>68</v>
      </c>
      <c r="D112" s="44">
        <f>SUM(D116,D113:D114)</f>
        <v>5000</v>
      </c>
    </row>
    <row r="113" spans="2:4" ht="12.75">
      <c r="B113" s="34"/>
      <c r="C113" s="38" t="s">
        <v>63</v>
      </c>
      <c r="D113" s="26">
        <v>1900</v>
      </c>
    </row>
    <row r="114" spans="2:4" ht="12.75">
      <c r="B114" s="34"/>
      <c r="C114" s="38" t="s">
        <v>132</v>
      </c>
      <c r="D114" s="26">
        <v>1100</v>
      </c>
    </row>
    <row r="115" spans="2:4" ht="12.75">
      <c r="B115" s="34"/>
      <c r="C115" s="56" t="s">
        <v>131</v>
      </c>
      <c r="D115" s="26">
        <v>100</v>
      </c>
    </row>
    <row r="116" spans="2:4" ht="12.75">
      <c r="B116" s="58"/>
      <c r="C116" s="59" t="s">
        <v>62</v>
      </c>
      <c r="D116" s="60">
        <f>D69</f>
        <v>2000</v>
      </c>
    </row>
    <row r="117" ht="12.75">
      <c r="B117" s="4" t="s">
        <v>173</v>
      </c>
    </row>
    <row r="118" ht="12.75"/>
    <row r="119" ht="12.75"/>
    <row r="120" ht="15.75">
      <c r="B120" s="15" t="s">
        <v>65</v>
      </c>
    </row>
    <row r="121" ht="12.75">
      <c r="B121" s="2"/>
    </row>
    <row r="122" spans="2:4" ht="12.75">
      <c r="B122" s="21"/>
      <c r="C122" s="22"/>
      <c r="D122" s="33" t="s">
        <v>5</v>
      </c>
    </row>
    <row r="123" spans="2:4" ht="12.75">
      <c r="B123" s="61" t="s">
        <v>39</v>
      </c>
      <c r="C123" s="47" t="s">
        <v>66</v>
      </c>
      <c r="D123" s="44">
        <f>SUM(D124:D127)</f>
        <v>95000</v>
      </c>
    </row>
    <row r="124" spans="2:4" ht="12.75">
      <c r="B124" s="29"/>
      <c r="C124" s="62" t="s">
        <v>70</v>
      </c>
      <c r="D124" s="26">
        <f>D56</f>
        <v>100000</v>
      </c>
    </row>
    <row r="125" spans="2:4" ht="12.75">
      <c r="B125" s="29"/>
      <c r="C125" s="62" t="s">
        <v>71</v>
      </c>
      <c r="D125" s="26">
        <f>D66</f>
        <v>15000</v>
      </c>
    </row>
    <row r="126" spans="2:4" ht="12.75">
      <c r="B126" s="29"/>
      <c r="C126" s="63" t="s">
        <v>72</v>
      </c>
      <c r="D126" s="26">
        <f>-D58</f>
        <v>-15000</v>
      </c>
    </row>
    <row r="127" spans="2:4" ht="12.75">
      <c r="B127" s="29"/>
      <c r="C127" s="62" t="s">
        <v>77</v>
      </c>
      <c r="D127" s="26">
        <f>-D112</f>
        <v>-5000</v>
      </c>
    </row>
    <row r="128" spans="2:4" ht="12.75">
      <c r="B128" s="29"/>
      <c r="C128" s="17"/>
      <c r="D128" s="26"/>
    </row>
    <row r="129" spans="2:4" ht="12.75">
      <c r="B129" s="61" t="s">
        <v>40</v>
      </c>
      <c r="C129" s="47" t="s">
        <v>69</v>
      </c>
      <c r="D129" s="44">
        <f>SUM(D130:D135)</f>
        <v>-51000</v>
      </c>
    </row>
    <row r="130" spans="2:4" ht="12.75">
      <c r="B130" s="29"/>
      <c r="C130" s="62" t="s">
        <v>73</v>
      </c>
      <c r="D130" s="26">
        <f>-D49</f>
        <v>-30000</v>
      </c>
    </row>
    <row r="131" spans="2:4" ht="12.75">
      <c r="B131" s="29"/>
      <c r="C131" s="62" t="s">
        <v>74</v>
      </c>
      <c r="D131" s="26">
        <f>-D50</f>
        <v>-4000</v>
      </c>
    </row>
    <row r="132" spans="2:4" ht="12.75">
      <c r="B132" s="29"/>
      <c r="C132" s="62" t="s">
        <v>75</v>
      </c>
      <c r="D132" s="26">
        <f>-D51</f>
        <v>-1000</v>
      </c>
    </row>
    <row r="133" spans="2:4" ht="12.75">
      <c r="B133" s="29"/>
      <c r="C133" s="62" t="s">
        <v>76</v>
      </c>
      <c r="D133" s="26">
        <f>-D52</f>
        <v>-10000</v>
      </c>
    </row>
    <row r="134" spans="2:4" ht="25.5">
      <c r="B134" s="29"/>
      <c r="C134" s="63" t="s">
        <v>94</v>
      </c>
      <c r="D134" s="26">
        <f>-D53</f>
        <v>-5000</v>
      </c>
    </row>
    <row r="135" spans="2:4" ht="12.75">
      <c r="B135" s="29"/>
      <c r="C135" s="17" t="s">
        <v>93</v>
      </c>
      <c r="D135" s="26">
        <f>-D65</f>
        <v>-1000</v>
      </c>
    </row>
    <row r="136" spans="2:4" ht="12.75">
      <c r="B136" s="29"/>
      <c r="C136" s="17"/>
      <c r="D136" s="26"/>
    </row>
    <row r="137" spans="2:4" ht="12.75">
      <c r="B137" s="61" t="s">
        <v>41</v>
      </c>
      <c r="C137" s="47" t="s">
        <v>78</v>
      </c>
      <c r="D137" s="44">
        <f>SUM(D138)</f>
        <v>-151999</v>
      </c>
    </row>
    <row r="138" spans="2:4" ht="12.75">
      <c r="B138" s="29"/>
      <c r="C138" s="64" t="s">
        <v>88</v>
      </c>
      <c r="D138" s="36">
        <f>SUM(D139,D144:D147)</f>
        <v>-151999</v>
      </c>
    </row>
    <row r="139" spans="2:14" s="1" customFormat="1" ht="12.75">
      <c r="B139" s="29"/>
      <c r="C139" s="65" t="s">
        <v>83</v>
      </c>
      <c r="D139" s="36">
        <f>SUM(D140:D143)</f>
        <v>-30000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4" ht="12.75">
      <c r="B140" s="29"/>
      <c r="C140" s="66" t="s">
        <v>84</v>
      </c>
      <c r="D140" s="26">
        <f>D85-D84</f>
        <v>0</v>
      </c>
    </row>
    <row r="141" spans="2:4" ht="12.75">
      <c r="B141" s="29"/>
      <c r="C141" s="66" t="s">
        <v>85</v>
      </c>
      <c r="D141" s="26">
        <f>D88-D87</f>
        <v>-20000</v>
      </c>
    </row>
    <row r="142" spans="2:4" ht="12.75">
      <c r="B142" s="29"/>
      <c r="C142" s="66" t="s">
        <v>86</v>
      </c>
      <c r="D142" s="26">
        <f>D91-D90</f>
        <v>0</v>
      </c>
    </row>
    <row r="143" spans="2:4" ht="12.75">
      <c r="B143" s="29"/>
      <c r="C143" s="66" t="s">
        <v>87</v>
      </c>
      <c r="D143" s="26">
        <f>D94-D93</f>
        <v>-10000</v>
      </c>
    </row>
    <row r="144" spans="2:14" s="1" customFormat="1" ht="12.75">
      <c r="B144" s="29"/>
      <c r="C144" s="67" t="s">
        <v>79</v>
      </c>
      <c r="D144" s="36">
        <f>-D96</f>
        <v>-50000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s="1" customFormat="1" ht="12.75">
      <c r="B145" s="29"/>
      <c r="C145" s="67" t="s">
        <v>80</v>
      </c>
      <c r="D145" s="36">
        <f>-(D100-D99)</f>
        <v>-20000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s="1" customFormat="1" ht="12.75">
      <c r="B146" s="29"/>
      <c r="C146" s="67" t="s">
        <v>81</v>
      </c>
      <c r="D146" s="36">
        <f>-(D104-D103)</f>
        <v>-49999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s="1" customFormat="1" ht="12.75">
      <c r="B147" s="29"/>
      <c r="C147" s="67" t="s">
        <v>82</v>
      </c>
      <c r="D147" s="36">
        <f>-(D108-D107)</f>
        <v>-2000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4" ht="12.75">
      <c r="B148" s="29"/>
      <c r="C148" s="38"/>
      <c r="D148" s="26"/>
    </row>
    <row r="149" spans="2:4" ht="12.75">
      <c r="B149" s="61" t="s">
        <v>42</v>
      </c>
      <c r="C149" s="47" t="s">
        <v>89</v>
      </c>
      <c r="D149" s="44">
        <v>200000</v>
      </c>
    </row>
    <row r="150" spans="2:4" ht="12.75">
      <c r="B150" s="29"/>
      <c r="C150" s="17"/>
      <c r="D150" s="26"/>
    </row>
    <row r="151" spans="2:14" s="9" customFormat="1" ht="18.75" customHeight="1">
      <c r="B151" s="11" t="s">
        <v>43</v>
      </c>
      <c r="C151" s="12" t="s">
        <v>109</v>
      </c>
      <c r="D151" s="13">
        <f>D123+D129+D137+D149</f>
        <v>92001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2:4" ht="12.75">
      <c r="B152" s="29"/>
      <c r="C152" s="17"/>
      <c r="D152" s="26"/>
    </row>
    <row r="153" spans="2:4" ht="12.75">
      <c r="B153" s="61" t="s">
        <v>58</v>
      </c>
      <c r="C153" s="47" t="s">
        <v>108</v>
      </c>
      <c r="D153" s="44">
        <f>D54</f>
        <v>90000</v>
      </c>
    </row>
    <row r="154" spans="2:4" ht="12.75">
      <c r="B154" s="29"/>
      <c r="C154" s="17"/>
      <c r="D154" s="26"/>
    </row>
    <row r="155" spans="2:4" ht="12.75">
      <c r="B155" s="61" t="s">
        <v>61</v>
      </c>
      <c r="C155" s="47" t="s">
        <v>142</v>
      </c>
      <c r="D155" s="44">
        <f>D153-D151</f>
        <v>-2001</v>
      </c>
    </row>
    <row r="156" spans="2:4" ht="12.75">
      <c r="B156" s="29"/>
      <c r="C156" s="17"/>
      <c r="D156" s="26"/>
    </row>
    <row r="157" spans="2:4" ht="15">
      <c r="B157" s="11"/>
      <c r="C157" s="12"/>
      <c r="D157" s="20" t="str">
        <f>IF(D155&lt;=0,"Wniosek: Rekompensata nie jest nadmierna","Wniosek: Rekompensata jest nadmierna")</f>
        <v>Wniosek: Rekompensata nie jest nadmierna</v>
      </c>
    </row>
    <row r="158" ht="12.75"/>
    <row r="159" ht="12.75"/>
    <row r="160" ht="12.75"/>
    <row r="161" ht="12.75"/>
    <row r="162" ht="15.75">
      <c r="B162" s="15" t="s">
        <v>106</v>
      </c>
    </row>
    <row r="163" ht="12.75"/>
    <row r="164" ht="12.75">
      <c r="B164" s="4" t="s">
        <v>179</v>
      </c>
    </row>
    <row r="165" spans="2:13" ht="5.25" customHeight="1">
      <c r="B165" s="2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2:13" ht="12.75">
      <c r="B166" s="21"/>
      <c r="C166" s="22"/>
      <c r="D166" s="68" t="s">
        <v>5</v>
      </c>
      <c r="E166" s="69" t="s">
        <v>114</v>
      </c>
      <c r="F166" s="69" t="s">
        <v>115</v>
      </c>
      <c r="G166" s="69" t="s">
        <v>116</v>
      </c>
      <c r="H166" s="69" t="s">
        <v>117</v>
      </c>
      <c r="I166" s="69" t="s">
        <v>118</v>
      </c>
      <c r="J166" s="69" t="s">
        <v>119</v>
      </c>
      <c r="K166" s="69" t="s">
        <v>120</v>
      </c>
      <c r="L166" s="69" t="s">
        <v>121</v>
      </c>
      <c r="M166" s="70" t="s">
        <v>122</v>
      </c>
    </row>
    <row r="167" spans="2:13" ht="12.75">
      <c r="B167" s="29"/>
      <c r="C167" s="17"/>
      <c r="D167" s="18"/>
      <c r="E167" s="18"/>
      <c r="F167" s="18"/>
      <c r="G167" s="18"/>
      <c r="H167" s="18"/>
      <c r="I167" s="18"/>
      <c r="J167" s="18"/>
      <c r="K167" s="18"/>
      <c r="L167" s="18"/>
      <c r="M167" s="26"/>
    </row>
    <row r="168" spans="2:13" ht="12.75">
      <c r="B168" s="61" t="s">
        <v>39</v>
      </c>
      <c r="C168" s="47" t="s">
        <v>128</v>
      </c>
      <c r="D168" s="71">
        <f>SUM(D169:D171)</f>
        <v>-2300000</v>
      </c>
      <c r="E168" s="72"/>
      <c r="F168" s="72"/>
      <c r="G168" s="72"/>
      <c r="H168" s="72"/>
      <c r="I168" s="72"/>
      <c r="J168" s="72"/>
      <c r="K168" s="72"/>
      <c r="L168" s="72"/>
      <c r="M168" s="57"/>
    </row>
    <row r="169" spans="2:13" ht="12.75">
      <c r="B169" s="29"/>
      <c r="C169" s="40" t="s">
        <v>127</v>
      </c>
      <c r="D169" s="18">
        <f>-2000000</f>
        <v>-2000000</v>
      </c>
      <c r="E169" s="18"/>
      <c r="F169" s="18"/>
      <c r="G169" s="18"/>
      <c r="H169" s="18"/>
      <c r="I169" s="18"/>
      <c r="J169" s="18"/>
      <c r="K169" s="18"/>
      <c r="L169" s="18"/>
      <c r="M169" s="26"/>
    </row>
    <row r="170" spans="2:13" ht="12.75">
      <c r="B170" s="29"/>
      <c r="C170" s="38" t="s">
        <v>124</v>
      </c>
      <c r="D170" s="18">
        <f>-D19</f>
        <v>-250000</v>
      </c>
      <c r="E170" s="18"/>
      <c r="F170" s="18"/>
      <c r="G170" s="18"/>
      <c r="H170" s="18"/>
      <c r="I170" s="18"/>
      <c r="J170" s="18"/>
      <c r="K170" s="18"/>
      <c r="L170" s="18"/>
      <c r="M170" s="26"/>
    </row>
    <row r="171" spans="2:13" ht="12.75">
      <c r="B171" s="29"/>
      <c r="C171" s="38" t="s">
        <v>126</v>
      </c>
      <c r="D171" s="18">
        <f>-D18</f>
        <v>-50000</v>
      </c>
      <c r="E171" s="18"/>
      <c r="F171" s="18"/>
      <c r="G171" s="18"/>
      <c r="H171" s="18"/>
      <c r="I171" s="18"/>
      <c r="J171" s="18"/>
      <c r="K171" s="18"/>
      <c r="L171" s="18"/>
      <c r="M171" s="26"/>
    </row>
    <row r="172" spans="2:13" ht="12.75">
      <c r="B172" s="29"/>
      <c r="C172" s="17"/>
      <c r="D172" s="18"/>
      <c r="E172" s="18"/>
      <c r="F172" s="18"/>
      <c r="G172" s="18"/>
      <c r="H172" s="18"/>
      <c r="I172" s="18"/>
      <c r="J172" s="18"/>
      <c r="K172" s="18"/>
      <c r="L172" s="18"/>
      <c r="M172" s="26"/>
    </row>
    <row r="173" spans="2:13" ht="12.75">
      <c r="B173" s="61" t="s">
        <v>40</v>
      </c>
      <c r="C173" s="73" t="s">
        <v>111</v>
      </c>
      <c r="D173" s="71">
        <f>SUM(D174:D176)</f>
        <v>1111999</v>
      </c>
      <c r="E173" s="71">
        <f aca="true" t="shared" si="0" ref="E173:M173">SUM(E174:E176)</f>
        <v>212000</v>
      </c>
      <c r="F173" s="71">
        <f t="shared" si="0"/>
        <v>212000</v>
      </c>
      <c r="G173" s="71">
        <f t="shared" si="0"/>
        <v>212000</v>
      </c>
      <c r="H173" s="71">
        <f t="shared" si="0"/>
        <v>212000</v>
      </c>
      <c r="I173" s="71">
        <f t="shared" si="0"/>
        <v>212000</v>
      </c>
      <c r="J173" s="71">
        <f t="shared" si="0"/>
        <v>212000</v>
      </c>
      <c r="K173" s="71">
        <f t="shared" si="0"/>
        <v>212000</v>
      </c>
      <c r="L173" s="71">
        <f t="shared" si="0"/>
        <v>212000</v>
      </c>
      <c r="M173" s="44">
        <f t="shared" si="0"/>
        <v>212000</v>
      </c>
    </row>
    <row r="174" spans="2:13" ht="12.75">
      <c r="B174" s="29"/>
      <c r="C174" s="38" t="s">
        <v>2</v>
      </c>
      <c r="D174" s="18">
        <f>D48</f>
        <v>211999</v>
      </c>
      <c r="E174" s="18">
        <v>212000</v>
      </c>
      <c r="F174" s="18">
        <f>E174</f>
        <v>212000</v>
      </c>
      <c r="G174" s="18">
        <f aca="true" t="shared" si="1" ref="G174:M174">F174</f>
        <v>212000</v>
      </c>
      <c r="H174" s="18">
        <f t="shared" si="1"/>
        <v>212000</v>
      </c>
      <c r="I174" s="18">
        <f t="shared" si="1"/>
        <v>212000</v>
      </c>
      <c r="J174" s="18">
        <f t="shared" si="1"/>
        <v>212000</v>
      </c>
      <c r="K174" s="18">
        <f t="shared" si="1"/>
        <v>212000</v>
      </c>
      <c r="L174" s="18">
        <f t="shared" si="1"/>
        <v>212000</v>
      </c>
      <c r="M174" s="26">
        <f t="shared" si="1"/>
        <v>212000</v>
      </c>
    </row>
    <row r="175" spans="2:13" ht="12.75">
      <c r="B175" s="29"/>
      <c r="C175" s="38" t="s">
        <v>123</v>
      </c>
      <c r="D175" s="18">
        <f>D38+D40</f>
        <v>400000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26">
        <v>0</v>
      </c>
    </row>
    <row r="176" spans="2:13" ht="12.75">
      <c r="B176" s="29"/>
      <c r="C176" s="38" t="s">
        <v>125</v>
      </c>
      <c r="D176" s="18">
        <f>D36</f>
        <v>500000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26">
        <v>0</v>
      </c>
    </row>
    <row r="177" spans="2:13" ht="12.75">
      <c r="B177" s="29"/>
      <c r="C177" s="17"/>
      <c r="D177" s="18"/>
      <c r="E177" s="18"/>
      <c r="F177" s="18"/>
      <c r="G177" s="18"/>
      <c r="H177" s="18"/>
      <c r="I177" s="18"/>
      <c r="J177" s="18"/>
      <c r="K177" s="18"/>
      <c r="L177" s="18"/>
      <c r="M177" s="26"/>
    </row>
    <row r="178" spans="2:13" ht="12.75">
      <c r="B178" s="61" t="s">
        <v>41</v>
      </c>
      <c r="C178" s="47" t="s">
        <v>112</v>
      </c>
      <c r="D178" s="71">
        <f>SUM(D179:D182)</f>
        <v>-1015000</v>
      </c>
      <c r="E178" s="71">
        <f aca="true" t="shared" si="2" ref="E178:M178">SUM(E179:E182)</f>
        <v>-118000</v>
      </c>
      <c r="F178" s="71">
        <f t="shared" si="2"/>
        <v>-118000</v>
      </c>
      <c r="G178" s="71">
        <f t="shared" si="2"/>
        <v>-118000</v>
      </c>
      <c r="H178" s="71">
        <f t="shared" si="2"/>
        <v>-118000</v>
      </c>
      <c r="I178" s="71">
        <f t="shared" si="2"/>
        <v>-118000</v>
      </c>
      <c r="J178" s="71">
        <f t="shared" si="2"/>
        <v>-118000</v>
      </c>
      <c r="K178" s="71">
        <f t="shared" si="2"/>
        <v>-118000</v>
      </c>
      <c r="L178" s="71">
        <f t="shared" si="2"/>
        <v>-118000</v>
      </c>
      <c r="M178" s="44">
        <f t="shared" si="2"/>
        <v>-118000</v>
      </c>
    </row>
    <row r="179" spans="2:13" ht="12.75">
      <c r="B179" s="29"/>
      <c r="C179" s="38" t="s">
        <v>129</v>
      </c>
      <c r="D179" s="18">
        <f>-(D56-D57-D113-D114)</f>
        <v>-72000</v>
      </c>
      <c r="E179" s="18">
        <v>-75000</v>
      </c>
      <c r="F179" s="18">
        <v>-75000</v>
      </c>
      <c r="G179" s="18">
        <v>-75000</v>
      </c>
      <c r="H179" s="18">
        <v>-75000</v>
      </c>
      <c r="I179" s="18">
        <v>-75000</v>
      </c>
      <c r="J179" s="18">
        <v>-75000</v>
      </c>
      <c r="K179" s="18">
        <v>-75000</v>
      </c>
      <c r="L179" s="18">
        <v>-75000</v>
      </c>
      <c r="M179" s="26">
        <v>-75000</v>
      </c>
    </row>
    <row r="180" spans="2:13" ht="12.75">
      <c r="B180" s="29"/>
      <c r="C180" s="38" t="s">
        <v>3</v>
      </c>
      <c r="D180" s="18">
        <f>-(D67+D68)</f>
        <v>-13000</v>
      </c>
      <c r="E180" s="18">
        <f>D180</f>
        <v>-13000</v>
      </c>
      <c r="F180" s="18">
        <f aca="true" t="shared" si="3" ref="F180:M180">E180</f>
        <v>-13000</v>
      </c>
      <c r="G180" s="18">
        <f t="shared" si="3"/>
        <v>-13000</v>
      </c>
      <c r="H180" s="18">
        <f t="shared" si="3"/>
        <v>-13000</v>
      </c>
      <c r="I180" s="18">
        <f t="shared" si="3"/>
        <v>-13000</v>
      </c>
      <c r="J180" s="18">
        <f t="shared" si="3"/>
        <v>-13000</v>
      </c>
      <c r="K180" s="18">
        <f t="shared" si="3"/>
        <v>-13000</v>
      </c>
      <c r="L180" s="18">
        <f t="shared" si="3"/>
        <v>-13000</v>
      </c>
      <c r="M180" s="26">
        <f t="shared" si="3"/>
        <v>-13000</v>
      </c>
    </row>
    <row r="181" spans="2:13" ht="12.75">
      <c r="B181" s="29"/>
      <c r="C181" s="38" t="s">
        <v>133</v>
      </c>
      <c r="D181" s="18">
        <f>-D38/10</f>
        <v>-30000</v>
      </c>
      <c r="E181" s="18">
        <f>D181</f>
        <v>-30000</v>
      </c>
      <c r="F181" s="18">
        <f aca="true" t="shared" si="4" ref="F181:M181">E181</f>
        <v>-30000</v>
      </c>
      <c r="G181" s="18">
        <f t="shared" si="4"/>
        <v>-30000</v>
      </c>
      <c r="H181" s="18">
        <f t="shared" si="4"/>
        <v>-30000</v>
      </c>
      <c r="I181" s="18">
        <f t="shared" si="4"/>
        <v>-30000</v>
      </c>
      <c r="J181" s="18">
        <f t="shared" si="4"/>
        <v>-30000</v>
      </c>
      <c r="K181" s="18">
        <f t="shared" si="4"/>
        <v>-30000</v>
      </c>
      <c r="L181" s="18">
        <f t="shared" si="4"/>
        <v>-30000</v>
      </c>
      <c r="M181" s="26">
        <f t="shared" si="4"/>
        <v>-30000</v>
      </c>
    </row>
    <row r="182" spans="2:13" ht="12.75">
      <c r="B182" s="29"/>
      <c r="C182" s="38" t="s">
        <v>134</v>
      </c>
      <c r="D182" s="18">
        <f>-D175-D176</f>
        <v>-900000</v>
      </c>
      <c r="E182" s="18"/>
      <c r="F182" s="18"/>
      <c r="G182" s="18"/>
      <c r="H182" s="18"/>
      <c r="I182" s="18"/>
      <c r="J182" s="18"/>
      <c r="K182" s="18"/>
      <c r="L182" s="18"/>
      <c r="M182" s="26"/>
    </row>
    <row r="183" spans="2:13" ht="12.75">
      <c r="B183" s="29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26"/>
    </row>
    <row r="184" spans="2:13" ht="12.75">
      <c r="B184" s="74" t="s">
        <v>42</v>
      </c>
      <c r="C184" s="50" t="s">
        <v>141</v>
      </c>
      <c r="D184" s="75">
        <f>D168+D173+D178</f>
        <v>-2203001</v>
      </c>
      <c r="E184" s="75">
        <f aca="true" t="shared" si="5" ref="E184:M184">E168+E173+E178</f>
        <v>94000</v>
      </c>
      <c r="F184" s="75">
        <f t="shared" si="5"/>
        <v>94000</v>
      </c>
      <c r="G184" s="75">
        <f t="shared" si="5"/>
        <v>94000</v>
      </c>
      <c r="H184" s="75">
        <f t="shared" si="5"/>
        <v>94000</v>
      </c>
      <c r="I184" s="75">
        <f t="shared" si="5"/>
        <v>94000</v>
      </c>
      <c r="J184" s="75">
        <f t="shared" si="5"/>
        <v>94000</v>
      </c>
      <c r="K184" s="75">
        <f t="shared" si="5"/>
        <v>94000</v>
      </c>
      <c r="L184" s="75">
        <f t="shared" si="5"/>
        <v>94000</v>
      </c>
      <c r="M184" s="46">
        <f t="shared" si="5"/>
        <v>94000</v>
      </c>
    </row>
    <row r="185" ht="12.75"/>
    <row r="186" spans="2:4" ht="15">
      <c r="B186" s="11" t="s">
        <v>43</v>
      </c>
      <c r="C186" s="12" t="s">
        <v>140</v>
      </c>
      <c r="D186" s="19">
        <f>IRR(D184:M184)</f>
        <v>-0.1580710518169619</v>
      </c>
    </row>
    <row r="187" ht="12.75"/>
    <row r="188" spans="2:4" ht="15">
      <c r="B188" s="11"/>
      <c r="C188" s="12"/>
      <c r="D188" s="20" t="str">
        <f>IF(D186&lt;=5.03%,"Wniosek: Rekompensata nie jest nadmierna","Wniosek: Rekompensata jest nadmierna")</f>
        <v>Wniosek: Rekompensata nie jest nadmierna</v>
      </c>
    </row>
    <row r="189" ht="12.75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</sheetData>
  <sheetProtection/>
  <printOptions/>
  <pageMargins left="0.2755905511811024" right="0.3937007874015748" top="0.7480314960629921" bottom="0.7480314960629921" header="0.31496062992125984" footer="0.31496062992125984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04"/>
  <sheetViews>
    <sheetView tabSelected="1" zoomScalePageLayoutView="0" workbookViewId="0" topLeftCell="A11">
      <selection activeCell="F54" sqref="F54"/>
    </sheetView>
  </sheetViews>
  <sheetFormatPr defaultColWidth="9.140625" defaultRowHeight="12.75"/>
  <cols>
    <col min="2" max="2" width="54.7109375" style="0" customWidth="1"/>
    <col min="3" max="3" width="13.00390625" style="0" customWidth="1"/>
    <col min="4" max="4" width="14.140625" style="0" bestFit="1" customWidth="1"/>
    <col min="5" max="6" width="13.28125" style="0" customWidth="1"/>
    <col min="7" max="8" width="13.00390625" style="0" customWidth="1"/>
    <col min="9" max="11" width="13.28125" style="0" customWidth="1"/>
    <col min="12" max="12" width="12.8515625" style="0" customWidth="1"/>
    <col min="13" max="14" width="12.57421875" style="0" bestFit="1" customWidth="1"/>
  </cols>
  <sheetData>
    <row r="1" ht="12.75" hidden="1"/>
    <row r="2" spans="2:14" s="2" customFormat="1" ht="12.75" hidden="1">
      <c r="B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s="2" customFormat="1" ht="12.75" hidden="1">
      <c r="B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2" customFormat="1" ht="12.75" hidden="1">
      <c r="B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s="2" customFormat="1" ht="12.75" hidden="1">
      <c r="B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s="2" customFormat="1" ht="12.75" hidden="1">
      <c r="B6" s="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s="2" customFormat="1" ht="12.75" hidden="1">
      <c r="B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s="2" customFormat="1" ht="12.75" hidden="1">
      <c r="B8" s="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s="2" customFormat="1" ht="12.75" hidden="1">
      <c r="B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s="2" customFormat="1" ht="12.75" hidden="1">
      <c r="B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s="2" customFormat="1" ht="18.75">
      <c r="B11" s="102" t="s">
        <v>227</v>
      </c>
      <c r="C11" s="103"/>
      <c r="D11" s="104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s="2" customFormat="1" ht="12.75">
      <c r="B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s="2" customFormat="1" ht="12.75">
      <c r="B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5" spans="2:4" ht="12.75">
      <c r="B15" s="109" t="s">
        <v>180</v>
      </c>
      <c r="C15" s="110"/>
      <c r="D15" s="110"/>
    </row>
    <row r="17" spans="2:4" ht="12.75">
      <c r="B17" t="s">
        <v>181</v>
      </c>
      <c r="D17" s="106">
        <v>100000</v>
      </c>
    </row>
    <row r="18" spans="2:4" ht="12.75">
      <c r="B18" s="112" t="s">
        <v>182</v>
      </c>
      <c r="C18" s="112"/>
      <c r="D18" s="113">
        <f>D17</f>
        <v>100000</v>
      </c>
    </row>
    <row r="21" spans="2:4" ht="12.75">
      <c r="B21" s="109" t="s">
        <v>183</v>
      </c>
      <c r="C21" s="110"/>
      <c r="D21" s="110"/>
    </row>
    <row r="22" spans="2:4" ht="12.75">
      <c r="B22" s="105" t="s">
        <v>101</v>
      </c>
      <c r="D22" s="106"/>
    </row>
    <row r="23" spans="2:4" ht="12.75">
      <c r="B23" t="s">
        <v>184</v>
      </c>
      <c r="D23" s="106">
        <v>50000</v>
      </c>
    </row>
    <row r="24" spans="2:4" ht="12.75">
      <c r="B24" t="s">
        <v>185</v>
      </c>
      <c r="D24" s="106">
        <v>70000</v>
      </c>
    </row>
    <row r="25" spans="2:4" ht="12.75">
      <c r="B25" s="112" t="s">
        <v>186</v>
      </c>
      <c r="C25" s="112"/>
      <c r="D25" s="114">
        <f>D24-D23</f>
        <v>20000</v>
      </c>
    </row>
    <row r="26" ht="12.75">
      <c r="D26" s="106"/>
    </row>
    <row r="27" spans="2:4" ht="12.75">
      <c r="B27" s="105" t="s">
        <v>102</v>
      </c>
      <c r="D27" s="106"/>
    </row>
    <row r="28" spans="2:4" ht="12.75">
      <c r="B28" t="s">
        <v>220</v>
      </c>
      <c r="D28" s="106">
        <v>90000</v>
      </c>
    </row>
    <row r="29" spans="2:4" ht="12.75">
      <c r="B29" t="s">
        <v>218</v>
      </c>
      <c r="D29" s="117">
        <v>0.19</v>
      </c>
    </row>
    <row r="30" spans="2:4" ht="12.75">
      <c r="B30" t="s">
        <v>219</v>
      </c>
      <c r="D30" s="106">
        <f>D28*D29</f>
        <v>17100</v>
      </c>
    </row>
    <row r="31" ht="12.75">
      <c r="D31" s="106"/>
    </row>
    <row r="32" spans="2:4" ht="12.75">
      <c r="B32" t="s">
        <v>221</v>
      </c>
      <c r="D32" s="106">
        <v>100000</v>
      </c>
    </row>
    <row r="33" spans="2:4" ht="12.75">
      <c r="B33" t="s">
        <v>218</v>
      </c>
      <c r="D33" s="117">
        <v>0.19</v>
      </c>
    </row>
    <row r="34" spans="2:4" ht="12.75">
      <c r="B34" t="s">
        <v>219</v>
      </c>
      <c r="D34" s="106">
        <f>D32*D33</f>
        <v>19000</v>
      </c>
    </row>
    <row r="35" spans="2:4" ht="12.75">
      <c r="B35" s="112" t="s">
        <v>186</v>
      </c>
      <c r="C35" s="112"/>
      <c r="D35" s="114">
        <f>D34-D30</f>
        <v>1900</v>
      </c>
    </row>
    <row r="36" ht="12.75">
      <c r="D36" s="106"/>
    </row>
    <row r="37" ht="12.75">
      <c r="D37" s="106"/>
    </row>
    <row r="38" spans="2:4" ht="12.75">
      <c r="B38" s="109" t="s">
        <v>187</v>
      </c>
      <c r="C38" s="110"/>
      <c r="D38" s="111"/>
    </row>
    <row r="39" ht="12.75">
      <c r="D39" s="106"/>
    </row>
    <row r="40" spans="2:4" ht="12.75">
      <c r="B40" t="s">
        <v>190</v>
      </c>
      <c r="D40" s="106">
        <v>9000000</v>
      </c>
    </row>
    <row r="41" spans="2:4" ht="12.75">
      <c r="B41" t="s">
        <v>191</v>
      </c>
      <c r="D41" s="107">
        <v>10000</v>
      </c>
    </row>
    <row r="42" ht="12.75">
      <c r="D42" s="106"/>
    </row>
    <row r="43" spans="2:4" ht="12.75">
      <c r="B43" t="s">
        <v>188</v>
      </c>
      <c r="D43" s="106">
        <v>1000000</v>
      </c>
    </row>
    <row r="44" spans="2:4" ht="12.75">
      <c r="B44" t="s">
        <v>189</v>
      </c>
      <c r="D44" s="107">
        <v>1000</v>
      </c>
    </row>
    <row r="45" ht="12.75">
      <c r="D45" s="106"/>
    </row>
    <row r="46" ht="12.75">
      <c r="D46" s="106"/>
    </row>
    <row r="47" ht="12.75">
      <c r="D47" s="106"/>
    </row>
    <row r="48" ht="12.75">
      <c r="D48" s="106"/>
    </row>
    <row r="49" ht="12.75">
      <c r="D49" s="106"/>
    </row>
    <row r="50" ht="12.75">
      <c r="D50" s="106"/>
    </row>
    <row r="51" ht="12.75">
      <c r="D51" s="106"/>
    </row>
    <row r="52" spans="2:4" ht="12.75">
      <c r="B52" s="108"/>
      <c r="C52" s="108" t="s">
        <v>192</v>
      </c>
      <c r="D52" s="106">
        <f>D43</f>
        <v>1000000</v>
      </c>
    </row>
    <row r="53" spans="2:4" ht="12.75">
      <c r="B53" s="108"/>
      <c r="C53" s="108" t="s">
        <v>193</v>
      </c>
      <c r="D53" s="106">
        <f>D40</f>
        <v>9000000</v>
      </c>
    </row>
    <row r="54" spans="2:4" ht="12.75">
      <c r="B54" s="108"/>
      <c r="C54" s="108" t="s">
        <v>194</v>
      </c>
      <c r="D54" s="106">
        <f>D41</f>
        <v>10000</v>
      </c>
    </row>
    <row r="55" spans="2:4" ht="12.75">
      <c r="B55" s="108"/>
      <c r="C55" s="108" t="s">
        <v>195</v>
      </c>
      <c r="D55" s="106">
        <f>D44</f>
        <v>1000</v>
      </c>
    </row>
    <row r="56" spans="2:4" ht="12.75">
      <c r="B56" s="115"/>
      <c r="C56" s="115" t="s">
        <v>186</v>
      </c>
      <c r="D56" s="114">
        <f>D52-(D53+D52)/(D54+D55)*D55</f>
        <v>90909.09090909082</v>
      </c>
    </row>
    <row r="57" ht="12.75">
      <c r="D57" s="106"/>
    </row>
    <row r="58" ht="12.75">
      <c r="D58" s="106"/>
    </row>
    <row r="59" spans="2:8" ht="12.75">
      <c r="B59" s="109" t="s">
        <v>228</v>
      </c>
      <c r="C59" s="110"/>
      <c r="D59" s="111"/>
      <c r="E59" s="110"/>
      <c r="F59" s="110"/>
      <c r="G59" s="110"/>
      <c r="H59" s="110"/>
    </row>
    <row r="61" spans="2:4" ht="12.75">
      <c r="B61" t="s">
        <v>196</v>
      </c>
      <c r="D61" s="106">
        <v>10000</v>
      </c>
    </row>
    <row r="62" spans="2:4" ht="12.75">
      <c r="B62" t="s">
        <v>197</v>
      </c>
      <c r="D62" s="108" t="s">
        <v>198</v>
      </c>
    </row>
    <row r="63" spans="2:4" ht="12.75">
      <c r="B63" t="s">
        <v>199</v>
      </c>
      <c r="D63" s="106">
        <v>100000</v>
      </c>
    </row>
    <row r="64" spans="2:4" ht="12.75">
      <c r="B64" t="s">
        <v>200</v>
      </c>
      <c r="D64" s="116">
        <v>0.0591</v>
      </c>
    </row>
    <row r="75" spans="3:12" ht="12.75">
      <c r="C75" s="118" t="s">
        <v>201</v>
      </c>
      <c r="D75" s="118" t="s">
        <v>202</v>
      </c>
      <c r="E75" s="118" t="s">
        <v>203</v>
      </c>
      <c r="F75" s="118" t="s">
        <v>204</v>
      </c>
      <c r="G75" s="118" t="s">
        <v>205</v>
      </c>
      <c r="H75" s="118" t="s">
        <v>206</v>
      </c>
      <c r="I75" s="118" t="s">
        <v>207</v>
      </c>
      <c r="J75" s="118" t="s">
        <v>208</v>
      </c>
      <c r="K75" s="118" t="s">
        <v>209</v>
      </c>
      <c r="L75" s="118" t="s">
        <v>210</v>
      </c>
    </row>
    <row r="76" spans="2:12" ht="12.75">
      <c r="B76" s="108" t="s">
        <v>211</v>
      </c>
      <c r="C76" s="119">
        <f>D63</f>
        <v>100000</v>
      </c>
      <c r="D76" s="119">
        <f aca="true" t="shared" si="0" ref="D76:L77">C76</f>
        <v>100000</v>
      </c>
      <c r="E76" s="119">
        <f t="shared" si="0"/>
        <v>100000</v>
      </c>
      <c r="F76" s="119">
        <f t="shared" si="0"/>
        <v>100000</v>
      </c>
      <c r="G76" s="119">
        <f t="shared" si="0"/>
        <v>100000</v>
      </c>
      <c r="H76" s="119">
        <f t="shared" si="0"/>
        <v>100000</v>
      </c>
      <c r="I76" s="119">
        <f t="shared" si="0"/>
        <v>100000</v>
      </c>
      <c r="J76" s="119">
        <f t="shared" si="0"/>
        <v>100000</v>
      </c>
      <c r="K76" s="119">
        <f t="shared" si="0"/>
        <v>100000</v>
      </c>
      <c r="L76" s="119">
        <f t="shared" si="0"/>
        <v>100000</v>
      </c>
    </row>
    <row r="77" spans="2:12" ht="12.75">
      <c r="B77" s="108" t="s">
        <v>212</v>
      </c>
      <c r="C77" s="119">
        <f>D61</f>
        <v>10000</v>
      </c>
      <c r="D77" s="119">
        <f t="shared" si="0"/>
        <v>10000</v>
      </c>
      <c r="E77" s="119">
        <f t="shared" si="0"/>
        <v>10000</v>
      </c>
      <c r="F77" s="119">
        <f t="shared" si="0"/>
        <v>10000</v>
      </c>
      <c r="G77" s="119">
        <f t="shared" si="0"/>
        <v>10000</v>
      </c>
      <c r="H77" s="119">
        <f t="shared" si="0"/>
        <v>10000</v>
      </c>
      <c r="I77" s="119">
        <f t="shared" si="0"/>
        <v>10000</v>
      </c>
      <c r="J77" s="119">
        <f t="shared" si="0"/>
        <v>10000</v>
      </c>
      <c r="K77" s="119">
        <f t="shared" si="0"/>
        <v>10000</v>
      </c>
      <c r="L77" s="119">
        <f t="shared" si="0"/>
        <v>10000</v>
      </c>
    </row>
    <row r="78" spans="2:12" ht="12.75">
      <c r="B78" s="108" t="s">
        <v>213</v>
      </c>
      <c r="C78" s="119">
        <f>C76-C77</f>
        <v>90000</v>
      </c>
      <c r="D78" s="119">
        <f aca="true" t="shared" si="1" ref="D78:L78">D76-D77</f>
        <v>90000</v>
      </c>
      <c r="E78" s="119">
        <f t="shared" si="1"/>
        <v>90000</v>
      </c>
      <c r="F78" s="119">
        <f t="shared" si="1"/>
        <v>90000</v>
      </c>
      <c r="G78" s="119">
        <f t="shared" si="1"/>
        <v>90000</v>
      </c>
      <c r="H78" s="119">
        <f t="shared" si="1"/>
        <v>90000</v>
      </c>
      <c r="I78" s="119">
        <f t="shared" si="1"/>
        <v>90000</v>
      </c>
      <c r="J78" s="119">
        <f t="shared" si="1"/>
        <v>90000</v>
      </c>
      <c r="K78" s="119">
        <f t="shared" si="1"/>
        <v>90000</v>
      </c>
      <c r="L78" s="119">
        <f t="shared" si="1"/>
        <v>90000</v>
      </c>
    </row>
    <row r="79" spans="2:12" ht="12.75">
      <c r="B79" s="108" t="s">
        <v>214</v>
      </c>
      <c r="C79" s="120">
        <f>D64</f>
        <v>0.0591</v>
      </c>
      <c r="D79" s="120">
        <f aca="true" t="shared" si="2" ref="D79:L79">C79</f>
        <v>0.0591</v>
      </c>
      <c r="E79" s="120">
        <f t="shared" si="2"/>
        <v>0.0591</v>
      </c>
      <c r="F79" s="120">
        <f t="shared" si="2"/>
        <v>0.0591</v>
      </c>
      <c r="G79" s="120">
        <f t="shared" si="2"/>
        <v>0.0591</v>
      </c>
      <c r="H79" s="120">
        <f t="shared" si="2"/>
        <v>0.0591</v>
      </c>
      <c r="I79" s="120">
        <f t="shared" si="2"/>
        <v>0.0591</v>
      </c>
      <c r="J79" s="120">
        <f t="shared" si="2"/>
        <v>0.0591</v>
      </c>
      <c r="K79" s="120">
        <f t="shared" si="2"/>
        <v>0.0591</v>
      </c>
      <c r="L79" s="120">
        <f t="shared" si="2"/>
        <v>0.0591</v>
      </c>
    </row>
    <row r="80" spans="2:12" ht="12.75">
      <c r="B80" s="108" t="s">
        <v>216</v>
      </c>
      <c r="C80" s="121">
        <v>1</v>
      </c>
      <c r="D80" s="121">
        <v>2</v>
      </c>
      <c r="E80" s="121">
        <v>3</v>
      </c>
      <c r="F80" s="121">
        <v>4</v>
      </c>
      <c r="G80" s="121">
        <v>5</v>
      </c>
      <c r="H80" s="121">
        <v>6</v>
      </c>
      <c r="I80" s="121">
        <v>7</v>
      </c>
      <c r="J80" s="121">
        <v>8</v>
      </c>
      <c r="K80" s="121">
        <v>9</v>
      </c>
      <c r="L80" s="121">
        <v>10</v>
      </c>
    </row>
    <row r="81" spans="2:12" ht="12.75">
      <c r="B81" s="108" t="s">
        <v>215</v>
      </c>
      <c r="C81" s="122">
        <f>1/(1+C79)^C80</f>
        <v>0.9441979038806535</v>
      </c>
      <c r="D81" s="122">
        <f aca="true" t="shared" si="3" ref="D81:L81">1/(1+D79)^D80</f>
        <v>0.8915096816926197</v>
      </c>
      <c r="E81" s="122">
        <f t="shared" si="3"/>
        <v>0.8417615727434801</v>
      </c>
      <c r="F81" s="122">
        <f t="shared" si="3"/>
        <v>0.7947895125516761</v>
      </c>
      <c r="G81" s="122">
        <f t="shared" si="3"/>
        <v>0.7504385917776188</v>
      </c>
      <c r="H81" s="122">
        <f t="shared" si="3"/>
        <v>0.708562545347577</v>
      </c>
      <c r="I81" s="122">
        <f t="shared" si="3"/>
        <v>0.6690232700855228</v>
      </c>
      <c r="J81" s="122">
        <f t="shared" si="3"/>
        <v>0.631690369262131</v>
      </c>
      <c r="K81" s="122">
        <f t="shared" si="3"/>
        <v>0.5964407225588999</v>
      </c>
      <c r="L81" s="122">
        <f t="shared" si="3"/>
        <v>0.5631580800291758</v>
      </c>
    </row>
    <row r="82" spans="2:12" ht="12.75">
      <c r="B82" s="108" t="s">
        <v>217</v>
      </c>
      <c r="C82" s="122">
        <f>C78*C81</f>
        <v>84977.81134925882</v>
      </c>
      <c r="D82" s="122">
        <f aca="true" t="shared" si="4" ref="D82:L82">D78*D81</f>
        <v>80235.87135233577</v>
      </c>
      <c r="E82" s="122">
        <f t="shared" si="4"/>
        <v>75758.54154691321</v>
      </c>
      <c r="F82" s="122">
        <f t="shared" si="4"/>
        <v>71531.05612965085</v>
      </c>
      <c r="G82" s="122">
        <f t="shared" si="4"/>
        <v>67539.4732599857</v>
      </c>
      <c r="H82" s="122">
        <f t="shared" si="4"/>
        <v>63770.62908128193</v>
      </c>
      <c r="I82" s="122">
        <f t="shared" si="4"/>
        <v>60212.09430769705</v>
      </c>
      <c r="J82" s="122">
        <f t="shared" si="4"/>
        <v>56852.13323359178</v>
      </c>
      <c r="K82" s="122">
        <f t="shared" si="4"/>
        <v>53679.66503030099</v>
      </c>
      <c r="L82" s="122">
        <f t="shared" si="4"/>
        <v>50684.22720262582</v>
      </c>
    </row>
    <row r="83" spans="2:3" ht="12.75">
      <c r="B83" s="115" t="s">
        <v>186</v>
      </c>
      <c r="C83" s="123">
        <f>SUM(C82:L82)</f>
        <v>665241.5024936419</v>
      </c>
    </row>
    <row r="88" spans="2:8" ht="12.75">
      <c r="B88" s="109" t="s">
        <v>226</v>
      </c>
      <c r="C88" s="110"/>
      <c r="D88" s="111"/>
      <c r="E88" s="110"/>
      <c r="F88" s="110"/>
      <c r="G88" s="110"/>
      <c r="H88" s="110"/>
    </row>
    <row r="90" spans="2:4" ht="12.75">
      <c r="B90" t="s">
        <v>222</v>
      </c>
      <c r="D90" s="108" t="s">
        <v>198</v>
      </c>
    </row>
    <row r="91" spans="2:4" ht="12.75">
      <c r="B91" t="s">
        <v>223</v>
      </c>
      <c r="D91" s="106">
        <v>15000</v>
      </c>
    </row>
    <row r="92" spans="2:4" ht="12.75">
      <c r="B92" t="s">
        <v>224</v>
      </c>
      <c r="D92" s="106">
        <v>25000</v>
      </c>
    </row>
    <row r="93" spans="2:4" ht="12.75">
      <c r="B93" t="s">
        <v>200</v>
      </c>
      <c r="D93" s="116">
        <v>0.0591</v>
      </c>
    </row>
    <row r="96" spans="3:12" ht="12.75">
      <c r="C96" s="118" t="s">
        <v>201</v>
      </c>
      <c r="D96" s="118" t="s">
        <v>202</v>
      </c>
      <c r="E96" s="118" t="s">
        <v>203</v>
      </c>
      <c r="F96" s="118" t="s">
        <v>204</v>
      </c>
      <c r="G96" s="118" t="s">
        <v>205</v>
      </c>
      <c r="H96" s="118" t="s">
        <v>206</v>
      </c>
      <c r="I96" s="118" t="s">
        <v>207</v>
      </c>
      <c r="J96" s="118" t="s">
        <v>208</v>
      </c>
      <c r="K96" s="118" t="s">
        <v>209</v>
      </c>
      <c r="L96" s="118" t="s">
        <v>210</v>
      </c>
    </row>
    <row r="97" spans="2:12" ht="12.75">
      <c r="B97" s="108" t="s">
        <v>223</v>
      </c>
      <c r="C97" s="119">
        <f>D91</f>
        <v>15000</v>
      </c>
      <c r="D97" s="119">
        <f aca="true" t="shared" si="5" ref="D97:L98">C97</f>
        <v>15000</v>
      </c>
      <c r="E97" s="119">
        <f t="shared" si="5"/>
        <v>15000</v>
      </c>
      <c r="F97" s="119">
        <f t="shared" si="5"/>
        <v>15000</v>
      </c>
      <c r="G97" s="119">
        <f t="shared" si="5"/>
        <v>15000</v>
      </c>
      <c r="H97" s="119">
        <f t="shared" si="5"/>
        <v>15000</v>
      </c>
      <c r="I97" s="119">
        <f t="shared" si="5"/>
        <v>15000</v>
      </c>
      <c r="J97" s="119">
        <f t="shared" si="5"/>
        <v>15000</v>
      </c>
      <c r="K97" s="119">
        <f t="shared" si="5"/>
        <v>15000</v>
      </c>
      <c r="L97" s="119">
        <f t="shared" si="5"/>
        <v>15000</v>
      </c>
    </row>
    <row r="98" spans="2:12" ht="12.75">
      <c r="B98" s="108" t="str">
        <f>B92</f>
        <v>Rynkowa wartość odsetek rocznie</v>
      </c>
      <c r="C98" s="119">
        <f>D92</f>
        <v>25000</v>
      </c>
      <c r="D98" s="119">
        <f t="shared" si="5"/>
        <v>25000</v>
      </c>
      <c r="E98" s="119">
        <f t="shared" si="5"/>
        <v>25000</v>
      </c>
      <c r="F98" s="119">
        <f t="shared" si="5"/>
        <v>25000</v>
      </c>
      <c r="G98" s="119">
        <f t="shared" si="5"/>
        <v>25000</v>
      </c>
      <c r="H98" s="119">
        <f t="shared" si="5"/>
        <v>25000</v>
      </c>
      <c r="I98" s="119">
        <f t="shared" si="5"/>
        <v>25000</v>
      </c>
      <c r="J98" s="119">
        <f t="shared" si="5"/>
        <v>25000</v>
      </c>
      <c r="K98" s="119">
        <f t="shared" si="5"/>
        <v>25000</v>
      </c>
      <c r="L98" s="119">
        <f t="shared" si="5"/>
        <v>25000</v>
      </c>
    </row>
    <row r="99" spans="2:12" ht="12.75">
      <c r="B99" s="108" t="s">
        <v>225</v>
      </c>
      <c r="C99" s="119">
        <f>C98-C97</f>
        <v>10000</v>
      </c>
      <c r="D99" s="119">
        <f aca="true" t="shared" si="6" ref="D99:L99">D98-D97</f>
        <v>10000</v>
      </c>
      <c r="E99" s="119">
        <f t="shared" si="6"/>
        <v>10000</v>
      </c>
      <c r="F99" s="119">
        <f t="shared" si="6"/>
        <v>10000</v>
      </c>
      <c r="G99" s="119">
        <f t="shared" si="6"/>
        <v>10000</v>
      </c>
      <c r="H99" s="119">
        <f t="shared" si="6"/>
        <v>10000</v>
      </c>
      <c r="I99" s="119">
        <f t="shared" si="6"/>
        <v>10000</v>
      </c>
      <c r="J99" s="119">
        <f t="shared" si="6"/>
        <v>10000</v>
      </c>
      <c r="K99" s="119">
        <f t="shared" si="6"/>
        <v>10000</v>
      </c>
      <c r="L99" s="119">
        <f t="shared" si="6"/>
        <v>10000</v>
      </c>
    </row>
    <row r="100" spans="2:12" ht="12.75">
      <c r="B100" s="108" t="s">
        <v>214</v>
      </c>
      <c r="C100" s="120">
        <f>D93</f>
        <v>0.0591</v>
      </c>
      <c r="D100" s="120">
        <f aca="true" t="shared" si="7" ref="D100:L100">C100</f>
        <v>0.0591</v>
      </c>
      <c r="E100" s="120">
        <f t="shared" si="7"/>
        <v>0.0591</v>
      </c>
      <c r="F100" s="120">
        <f t="shared" si="7"/>
        <v>0.0591</v>
      </c>
      <c r="G100" s="120">
        <f t="shared" si="7"/>
        <v>0.0591</v>
      </c>
      <c r="H100" s="120">
        <f t="shared" si="7"/>
        <v>0.0591</v>
      </c>
      <c r="I100" s="120">
        <f t="shared" si="7"/>
        <v>0.0591</v>
      </c>
      <c r="J100" s="120">
        <f t="shared" si="7"/>
        <v>0.0591</v>
      </c>
      <c r="K100" s="120">
        <f t="shared" si="7"/>
        <v>0.0591</v>
      </c>
      <c r="L100" s="120">
        <f t="shared" si="7"/>
        <v>0.0591</v>
      </c>
    </row>
    <row r="101" spans="2:12" ht="12.75">
      <c r="B101" s="108" t="s">
        <v>216</v>
      </c>
      <c r="C101" s="121">
        <v>1</v>
      </c>
      <c r="D101" s="121">
        <v>2</v>
      </c>
      <c r="E101" s="121">
        <v>3</v>
      </c>
      <c r="F101" s="121">
        <v>4</v>
      </c>
      <c r="G101" s="121">
        <v>5</v>
      </c>
      <c r="H101" s="121">
        <v>6</v>
      </c>
      <c r="I101" s="121">
        <v>7</v>
      </c>
      <c r="J101" s="121">
        <v>8</v>
      </c>
      <c r="K101" s="121">
        <v>9</v>
      </c>
      <c r="L101" s="121">
        <v>10</v>
      </c>
    </row>
    <row r="102" spans="2:12" ht="12.75">
      <c r="B102" s="108" t="s">
        <v>215</v>
      </c>
      <c r="C102" s="122">
        <f>1/(1+C100)^C101</f>
        <v>0.9441979038806535</v>
      </c>
      <c r="D102" s="122">
        <f aca="true" t="shared" si="8" ref="D102:L102">1/(1+D100)^D101</f>
        <v>0.8915096816926197</v>
      </c>
      <c r="E102" s="122">
        <f t="shared" si="8"/>
        <v>0.8417615727434801</v>
      </c>
      <c r="F102" s="122">
        <f t="shared" si="8"/>
        <v>0.7947895125516761</v>
      </c>
      <c r="G102" s="122">
        <f t="shared" si="8"/>
        <v>0.7504385917776188</v>
      </c>
      <c r="H102" s="122">
        <f t="shared" si="8"/>
        <v>0.708562545347577</v>
      </c>
      <c r="I102" s="122">
        <f t="shared" si="8"/>
        <v>0.6690232700855228</v>
      </c>
      <c r="J102" s="122">
        <f t="shared" si="8"/>
        <v>0.631690369262131</v>
      </c>
      <c r="K102" s="122">
        <f t="shared" si="8"/>
        <v>0.5964407225588999</v>
      </c>
      <c r="L102" s="122">
        <f t="shared" si="8"/>
        <v>0.5631580800291758</v>
      </c>
    </row>
    <row r="103" spans="2:12" ht="12.75">
      <c r="B103" s="108" t="s">
        <v>217</v>
      </c>
      <c r="C103" s="122">
        <f>C99*C102</f>
        <v>9441.979038806536</v>
      </c>
      <c r="D103" s="122">
        <f aca="true" t="shared" si="9" ref="D103:L103">D99*D102</f>
        <v>8915.096816926196</v>
      </c>
      <c r="E103" s="122">
        <f t="shared" si="9"/>
        <v>8417.6157274348</v>
      </c>
      <c r="F103" s="122">
        <f t="shared" si="9"/>
        <v>7947.89512551676</v>
      </c>
      <c r="G103" s="122">
        <f t="shared" si="9"/>
        <v>7504.385917776189</v>
      </c>
      <c r="H103" s="122">
        <f t="shared" si="9"/>
        <v>7085.62545347577</v>
      </c>
      <c r="I103" s="122">
        <f t="shared" si="9"/>
        <v>6690.232700855227</v>
      </c>
      <c r="J103" s="122">
        <f t="shared" si="9"/>
        <v>6316.903692621309</v>
      </c>
      <c r="K103" s="122">
        <f t="shared" si="9"/>
        <v>5964.407225588999</v>
      </c>
      <c r="L103" s="122">
        <f t="shared" si="9"/>
        <v>5631.580800291757</v>
      </c>
    </row>
    <row r="104" spans="2:3" ht="12.75">
      <c r="B104" s="115" t="s">
        <v>186</v>
      </c>
      <c r="C104" s="123">
        <f>SUM(C103:L103)</f>
        <v>73915.72249929355</v>
      </c>
    </row>
  </sheetData>
  <sheetProtection/>
  <printOptions/>
  <pageMargins left="0.2755905511811024" right="0.196850393700787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hgaczynska</cp:lastModifiedBy>
  <cp:lastPrinted>2012-09-13T09:06:29Z</cp:lastPrinted>
  <dcterms:created xsi:type="dcterms:W3CDTF">2012-08-16T20:42:32Z</dcterms:created>
  <dcterms:modified xsi:type="dcterms:W3CDTF">2012-09-17T08:12:49Z</dcterms:modified>
  <cp:category/>
  <cp:version/>
  <cp:contentType/>
  <cp:contentStatus/>
</cp:coreProperties>
</file>